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YlzOa/OifQjVjzAVM6GjZFmH41pW80h00aKEUw/66NlAKjUTb+vHtIP7g01okPHZf0soDP1K6MSiiw/L4MId5Q==" workbookSaltValue="A4mfex4ltsw6osxh+sT4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5" i="13"/>
  <c r="AX20" i="20"/>
  <c r="B18" i="7" l="1"/>
  <c r="S19" i="8"/>
  <c r="AB13" i="21"/>
  <c r="H10" i="2"/>
  <c r="X12" i="21"/>
  <c r="BM16" i="11"/>
  <c r="BU11" i="17"/>
  <c r="BJ10" i="11"/>
  <c r="S15" i="17"/>
  <c r="L17" i="2"/>
  <c r="T9" i="11"/>
  <c r="BH17" i="16"/>
  <c r="BL17" i="11"/>
  <c r="V11" i="11"/>
  <c r="BI15" i="11"/>
  <c r="BG15" i="11"/>
  <c r="AP17" i="20"/>
  <c r="BU10" i="17"/>
  <c r="BW11" i="20"/>
  <c r="BU16" i="17"/>
  <c r="AZ12" i="11"/>
  <c r="S15" i="16"/>
  <c r="BF12" i="11"/>
  <c r="BL10" i="11"/>
  <c r="BK16" i="11"/>
  <c r="BG16" i="11"/>
  <c r="BM9" i="11"/>
  <c r="BK10" i="11"/>
  <c r="L10" i="2"/>
  <c r="L15" i="2"/>
  <c r="L16" i="2"/>
  <c r="X10" i="21"/>
  <c r="U9" i="17"/>
  <c r="U19" i="17" s="1"/>
  <c r="L9" i="2"/>
  <c r="V9" i="16"/>
  <c r="BH11" i="16"/>
  <c r="BF10" i="11"/>
  <c r="BM12" i="11"/>
  <c r="BJ12" i="11"/>
  <c r="BK17" i="11"/>
  <c r="BW12" i="20"/>
  <c r="BW10" i="20"/>
  <c r="X17" i="17"/>
  <c r="P15" i="17"/>
  <c r="BL15" i="11"/>
  <c r="BH11" i="11"/>
  <c r="S17" i="17"/>
  <c r="BH12" i="16"/>
  <c r="S16" i="17"/>
  <c r="L12" i="2"/>
  <c r="X15" i="16"/>
  <c r="X18" i="16" s="1"/>
  <c r="V10" i="16"/>
  <c r="C12" i="14"/>
  <c r="K12" i="14" s="1"/>
  <c r="AL16" i="11"/>
  <c r="C16" i="6"/>
  <c r="AZ18" i="13"/>
  <c r="BB18" i="13"/>
  <c r="BE9" i="13"/>
  <c r="BL16" i="11"/>
  <c r="BJ16" i="11"/>
  <c r="AQ12" i="21"/>
  <c r="BH16" i="11"/>
  <c r="BF15" i="11"/>
  <c r="BM17" i="11"/>
  <c r="Q15" i="17"/>
  <c r="BH10" i="16"/>
  <c r="S10" i="17"/>
  <c r="AQ10" i="21"/>
  <c r="BI9" i="11"/>
  <c r="BH10" i="11"/>
  <c r="Q17" i="17"/>
  <c r="BG12" i="11"/>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<sst xmlns="http://schemas.openxmlformats.org/spreadsheetml/2006/main" count="2102" uniqueCount="918">
  <si>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</si>
  <si>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</si>
  <si>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</si>
  <si>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</si>
  <si>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</si>
  <si>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</si>
  <si>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</si>
  <si>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</si>
  <si>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</si>
  <si>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</si>
  <si>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</si>
  <si>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</si>
  <si>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</si>
  <si>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</si>
  <si>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</si>
  <si>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</si>
  <si>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</si>
  <si>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</si>
  <si>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</si>
  <si>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</si>
  <si>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</si>
  <si>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</si>
  <si>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</si>
  <si>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</si>
  <si>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</si>
  <si>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</si>
  <si>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</si>
  <si>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</si>
  <si>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</si>
  <si>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</si>
  <si>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</si>
  <si>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</si>
  <si>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</si>
  <si>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</si>
  <si>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</si>
  <si>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</si>
  <si>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</si>
  <si>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</si>
  <si>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</si>
  <si>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</si>
  <si>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</si>
  <si>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</si>
  <si>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</si>
  <si>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</si>
  <si>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</si>
  <si>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</si>
  <si>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</si>
  <si>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</si>
  <si>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</si>
  <si>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</si>
  <si>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</si>
  <si>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</si>
  <si>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</si>
  <si>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</si>
  <si>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</si>
  <si>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</si>
  <si>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</si>
  <si>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</si>
  <si>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</si>
  <si>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</si>
  <si>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</si>
  <si>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</si>
  <si>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</si>
  <si>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</si>
  <si>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</si>
  <si>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</si>
  <si>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</si>
  <si>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</si>
  <si>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</si>
  <si>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</si>
  <si>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</si>
  <si>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</si>
  <si>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</si>
  <si>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</si>
  <si>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</si>
  <si>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</si>
  <si>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</si>
  <si>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</si>
  <si>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</si>
  <si>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</si>
  <si>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</si>
  <si>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</si>
  <si>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</si>
  <si>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</si>
  <si>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</si>
  <si>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</si>
  <si>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</si>
  <si>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</si>
  <si>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</si>
  <si>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</si>
  <si>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</si>
  <si>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</si>
  <si>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</si>
  <si>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</si>
  <si>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</si>
  <si>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</si>
  <si>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</si>
  <si>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</si>
  <si>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</si>
  <si>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</si>
  <si>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</si>
  <si>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</si>
  <si>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</si>
  <si>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</si>
  <si>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</si>
  <si>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</si>
  <si>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</si>
  <si>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</si>
  <si>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</si>
  <si>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</si>
  <si>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</si>
  <si>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</si>
  <si>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</si>
  <si>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</si>
  <si>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</si>
  <si>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</si>
  <si>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</si>
  <si>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</si>
  <si>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</si>
  <si>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</si>
  <si>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</si>
  <si>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</si>
  <si>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</si>
  <si>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</si>
  <si>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</si>
  <si>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</si>
  <si>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</si>
  <si>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</si>
  <si>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</si>
  <si>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</si>
  <si>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</si>
  <si>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</si>
  <si>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</si>
  <si>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</si>
  <si>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</si>
  <si>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</si>
  <si>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</si>
  <si>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</si>
  <si>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</si>
  <si>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</si>
  <si>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</si>
  <si>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</si>
  <si>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</si>
  <si>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</si>
  <si>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</si>
  <si>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</si>
  <si>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</si>
  <si>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</si>
  <si>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</si>
  <si>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</si>
  <si>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</si>
  <si>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</si>
  <si>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</si>
  <si>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</si>
  <si>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</si>
  <si>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</si>
  <si>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</si>
  <si>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</si>
  <si>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</si>
  <si>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</si>
  <si>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</si>
  <si>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</si>
  <si>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</si>
  <si>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</si>
  <si>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</si>
  <si>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</si>
  <si>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</si>
  <si>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</si>
  <si>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</si>
  <si>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</si>
  <si>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</si>
  <si>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</si>
  <si>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</si>
  <si>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</si>
  <si>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</si>
  <si>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</si>
  <si>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</si>
  <si>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</si>
  <si>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</si>
  <si>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</si>
  <si>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</si>
  <si>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</si>
  <si>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</si>
  <si>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</si>
  <si>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</si>
  <si>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</si>
  <si>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</si>
  <si>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</si>
  <si>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</si>
  <si>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</si>
  <si>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</si>
  <si>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</si>
  <si>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</si>
  <si>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</si>
  <si>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</si>
  <si>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</si>
  <si>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</si>
  <si>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</si>
  <si>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</si>
  <si>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</si>
  <si>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</si>
  <si>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</si>
  <si>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</si>
  <si>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</si>
  <si>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</si>
  <si>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</si>
  <si>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</si>
  <si>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</si>
  <si>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</si>
  <si>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</si>
  <si>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</si>
  <si>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</si>
  <si>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</si>
  <si>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</si>
  <si>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</si>
  <si>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</si>
  <si>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</si>
  <si>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</si>
  <si>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</si>
  <si>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</si>
  <si>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</si>
  <si>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</si>
  <si>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</si>
  <si>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</si>
  <si>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</si>
  <si>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</si>
  <si>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</si>
  <si>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</si>
  <si>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</si>
  <si>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</si>
  <si>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</si>
  <si>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</si>
  <si>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</si>
  <si>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</si>
  <si>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</si>
  <si>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</si>
  <si>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</si>
  <si>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</si>
  <si>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</si>
  <si>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</si>
  <si>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</si>
  <si>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</si>
  <si>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</si>
  <si>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</si>
  <si>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</si>
  <si>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</si>
  <si>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</si>
  <si>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</si>
  <si>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</si>
  <si>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</si>
  <si>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</si>
  <si>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</si>
  <si>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</si>
  <si>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</si>
  <si>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</si>
  <si>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</si>
  <si>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</si>
  <si>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</si>
  <si>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</si>
  <si>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</si>
  <si>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</si>
  <si>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</si>
  <si>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</si>
  <si>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</si>
  <si>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</si>
  <si>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</si>
  <si>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</si>
  <si>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</si>
  <si>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</si>
  <si>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</si>
  <si>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</si>
  <si>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</si>
  <si>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</si>
  <si>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</si>
  <si>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</si>
  <si>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</si>
  <si>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</si>
  <si>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</si>
  <si>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</si>
  <si>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</si>
  <si>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</si>
  <si>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</si>
  <si>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</si>
  <si>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</si>
  <si>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</si>
  <si>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</si>
  <si>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</si>
  <si>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</si>
  <si>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</si>
  <si>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</si>
  <si>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</si>
  <si>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</si>
  <si>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</si>
  <si>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</si>
  <si>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</si>
  <si>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</si>
  <si>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</si>
  <si>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</si>
  <si>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</si>
  <si>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</si>
  <si>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</si>
  <si>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</si>
  <si>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</si>
  <si>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</si>
  <si>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</si>
  <si>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</si>
  <si>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</si>
  <si>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</si>
  <si>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</si>
  <si>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</si>
  <si>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</si>
  <si>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</si>
  <si>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</si>
  <si>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</si>
  <si>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</si>
  <si>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</si>
  <si>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</si>
  <si>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</si>
  <si>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</si>
  <si>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</si>
  <si>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</si>
  <si>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</si>
  <si>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</si>
  <si>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</si>
  <si>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</si>
  <si>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</si>
  <si>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</si>
  <si>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</si>
  <si>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</si>
  <si>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</si>
  <si>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</si>
  <si>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</si>
  <si>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</si>
  <si>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</si>
  <si>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</si>
  <si>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</si>
  <si>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</si>
  <si>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</si>
  <si>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</si>
  <si>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</si>
  <si>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</si>
  <si>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</si>
  <si>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</si>
  <si>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</si>
  <si>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</si>
  <si>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</si>
  <si>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</si>
  <si>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</si>
  <si>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</si>
  <si>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</si>
  <si>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</si>
  <si>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</si>
  <si>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</si>
  <si>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</si>
  <si>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</si>
  <si>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</si>
  <si>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</si>
  <si>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</si>
  <si>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</si>
  <si>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</si>
  <si>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</si>
  <si>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</si>
  <si>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</si>
  <si>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</si>
  <si>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</si>
  <si>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</si>
  <si>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</si>
  <si>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</si>
  <si>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</si>
  <si>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</si>
  <si>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</si>
  <si>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</si>
  <si>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</si>
  <si>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</si>
  <si>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</si>
  <si>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</si>
  <si>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</si>
  <si>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</si>
  <si>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</si>
  <si>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</si>
  <si>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</si>
  <si>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</si>
  <si>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</si>
  <si>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</si>
  <si>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</si>
  <si>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</si>
  <si>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</si>
  <si>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</si>
  <si>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</si>
  <si>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</si>
  <si>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</si>
  <si>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</si>
  <si>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</si>
  <si>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</si>
  <si>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</si>
  <si>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</si>
  <si>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</si>
  <si>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</si>
  <si>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</si>
  <si>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</si>
  <si>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</si>
  <si>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</si>
  <si>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</si>
  <si>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</si>
  <si>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</si>
  <si>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</si>
  <si>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</si>
  <si>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</si>
  <si>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</si>
  <si>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</si>
  <si>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</si>
  <si>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</si>
  <si>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</si>
  <si>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</si>
  <si>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</si>
  <si>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</si>
  <si>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</si>
  <si>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</si>
  <si>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</si>
  <si>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</si>
  <si>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</si>
  <si>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</si>
  <si>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</si>
  <si>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</si>
  <si>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</si>
  <si>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</si>
  <si>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</si>
  <si>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</si>
  <si>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</si>
  <si>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</si>
  <si>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</si>
  <si>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</si>
  <si>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</si>
  <si>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</si>
  <si>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</si>
  <si>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</si>
  <si>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</si>
  <si>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</si>
  <si>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</si>
  <si>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</si>
  <si>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</si>
  <si>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</si>
  <si>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</si>
  <si>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</si>
  <si>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</si>
  <si>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</si>
  <si>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</si>
  <si>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</si>
  <si>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</si>
  <si>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</si>
  <si>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</si>
  <si>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</si>
  <si>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</si>
  <si>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</si>
  <si>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</si>
  <si>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</si>
  <si>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</si>
  <si>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</si>
  <si>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</si>
  <si>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</si>
  <si>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</si>
  <si>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</si>
  <si>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</si>
  <si>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</si>
  <si>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</si>
  <si>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</si>
  <si>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</si>
  <si>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</si>
  <si>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</si>
  <si>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</si>
  <si>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</si>
  <si>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</si>
  <si>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</si>
  <si>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</si>
  <si>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</si>
  <si>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</si>
  <si>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</si>
  <si>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</si>
  <si>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</si>
  <si>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</si>
  <si>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</si>
  <si>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</si>
  <si>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</si>
  <si>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</si>
  <si>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</si>
  <si>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</si>
  <si>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</si>
  <si>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</si>
  <si>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</si>
  <si>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</si>
  <si>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</si>
  <si>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</si>
  <si>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</si>
  <si>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</si>
  <si>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</si>
  <si>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</si>
  <si>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</si>
  <si>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</si>
  <si>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</si>
  <si>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</si>
  <si>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</si>
  <si>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</si>
  <si>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</si>
  <si>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</si>
  <si>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</si>
  <si>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</si>
  <si>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</si>
  <si>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</si>
  <si>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</si>
  <si>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</si>
  <si>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</si>
  <si>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</si>
  <si>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</si>
  <si>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</si>
  <si>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</si>
  <si>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</si>
  <si>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</si>
  <si>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</si>
  <si>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</si>
  <si>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</si>
  <si>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</si>
  <si>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</si>
  <si>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</si>
  <si>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</si>
  <si>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</si>
  <si>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</si>
  <si>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</si>
  <si>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</si>
  <si>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</si>
  <si>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</si>
  <si>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</si>
  <si>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</si>
  <si>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</si>
  <si>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</si>
  <si>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</si>
  <si>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</si>
  <si>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</si>
  <si>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</si>
  <si>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</si>
  <si>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</si>
  <si>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</si>
  <si>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</si>
  <si>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</si>
  <si>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</si>
  <si>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</si>
  <si>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</si>
  <si>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</si>
  <si>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</si>
  <si>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</si>
  <si>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</si>
  <si>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</si>
  <si>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</si>
  <si>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</si>
  <si>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</si>
  <si>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</si>
  <si>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</si>
  <si>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</si>
  <si>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</si>
  <si>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</si>
  <si>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</si>
  <si>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</si>
  <si>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</si>
  <si>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</si>
  <si>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</si>
  <si>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</si>
  <si>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</si>
  <si>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</si>
  <si>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</si>
  <si>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</si>
  <si>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</si>
  <si>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</si>
  <si>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</si>
  <si>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</si>
  <si>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</si>
  <si>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</si>
  <si>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</si>
  <si>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</si>
  <si>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</si>
  <si>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</si>
  <si>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</si>
  <si>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</si>
  <si>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</si>
  <si>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</si>
  <si>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</si>
  <si>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</si>
  <si>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</si>
  <si>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</si>
  <si>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</si>
  <si>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</si>
  <si>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</si>
  <si>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</si>
  <si>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</si>
  <si>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</si>
  <si>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</si>
  <si>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</si>
  <si>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</si>
  <si>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</si>
  <si>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</si>
  <si>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</si>
  <si>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</si>
  <si>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</si>
  <si>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</si>
  <si>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</si>
  <si>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</si>
  <si>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</si>
  <si>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</si>
  <si>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</si>
  <si>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</si>
  <si>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</si>
  <si>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</si>
  <si>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</si>
  <si>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</si>
  <si>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</si>
  <si>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</si>
  <si>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</si>
  <si>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</si>
  <si>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</si>
  <si>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</si>
  <si>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</si>
  <si>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</si>
  <si>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</si>
  <si>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</si>
  <si>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</si>
  <si>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</si>
  <si>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</si>
  <si>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</si>
  <si>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</si>
  <si>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</si>
  <si>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</si>
  <si>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</si>
  <si>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</si>
  <si>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</si>
  <si>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</si>
  <si>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</si>
  <si>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</si>
  <si>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</si>
  <si>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</si>
  <si>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</si>
  <si>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</si>
  <si>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</si>
  <si>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</si>
  <si>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</si>
  <si>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</si>
  <si>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</si>
  <si>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</si>
  <si>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</si>
  <si>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</si>
  <si>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</si>
  <si>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</si>
  <si>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</si>
  <si>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</si>
  <si>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</si>
  <si>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</si>
  <si>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</si>
  <si>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</si>
  <si>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</si>
  <si>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</si>
  <si>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</si>
  <si>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</si>
  <si>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</si>
  <si>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</si>
  <si>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</si>
  <si>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</si>
  <si>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</si>
  <si>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</si>
  <si>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</si>
  <si>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</si>
  <si>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</si>
  <si>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</si>
  <si>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</si>
  <si>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</si>
  <si>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</si>
  <si>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</si>
  <si>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</si>
  <si>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</si>
  <si>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</si>
  <si>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</si>
  <si>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</si>
  <si>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</si>
  <si>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</si>
  <si>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</si>
  <si>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</si>
  <si>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</si>
  <si>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</si>
  <si>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</si>
  <si>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</si>
  <si>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</si>
  <si>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</si>
  <si>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</si>
  <si>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</si>
  <si>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</si>
  <si>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</si>
  <si>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</si>
  <si>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</si>
  <si>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</si>
  <si>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</si>
  <si>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</si>
  <si>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</si>
  <si>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</si>
  <si>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</si>
  <si>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</si>
  <si>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</si>
  <si>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</si>
  <si>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</si>
  <si>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</si>
  <si>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</si>
  <si>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</si>
  <si>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</si>
  <si>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</si>
  <si>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</si>
  <si>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</si>
  <si>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</si>
  <si>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</si>
  <si>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</si>
  <si>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</si>
  <si>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</si>
  <si>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</si>
  <si>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</si>
  <si>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</si>
  <si>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</si>
  <si>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</si>
  <si>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</si>
  <si>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</si>
  <si>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</si>
  <si>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</si>
  <si>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</si>
  <si>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</si>
  <si>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</si>
  <si>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</si>
  <si>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</si>
  <si>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</si>
  <si>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</si>
  <si>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</si>
  <si>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</si>
  <si>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</si>
  <si>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</si>
  <si>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</si>
  <si>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</si>
  <si>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</si>
  <si>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</si>
  <si>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</si>
  <si>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</si>
  <si>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</si>
  <si>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</si>
  <si>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</si>
  <si>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</si>
  <si>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</si>
  <si>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</si>
  <si>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</si>
  <si>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</si>
  <si>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</si>
  <si>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</si>
  <si>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</si>
  <si>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</si>
  <si>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</si>
  <si>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</si>
  <si>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</si>
  <si>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</si>
  <si>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</si>
  <si>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</si>
  <si>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</si>
  <si>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</si>
  <si>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</si>
  <si>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</si>
  <si>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</si>
  <si>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</si>
  <si>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</si>
  <si>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</si>
  <si>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</si>
  <si>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</si>
  <si>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</si>
  <si>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</si>
  <si>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</si>
  <si>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</si>
  <si>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</si>
  <si>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</si>
  <si>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</si>
  <si>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</si>
  <si>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</si>
  <si>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</si>
  <si>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</si>
  <si>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</si>
  <si>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</si>
  <si>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</si>
  <si>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</si>
  <si>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</si>
  <si>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</si>
  <si>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</si>
  <si>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</si>
  <si>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</si>
  <si>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</si>
  <si>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</si>
  <si>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</si>
  <si>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</si>
  <si>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</si>
  <si>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</si>
  <si>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</si>
  <si>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</si>
  <si>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</si>
  <si>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</si>
  <si>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</si>
  <si>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</si>
  <si>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</si>
  <si>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</si>
  <si>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</si>
  <si>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</si>
  <si>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</si>
  <si>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</si>
  <si>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</si>
  <si>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</si>
  <si>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</si>
  <si>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</si>
  <si>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</si>
  <si>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</si>
  <si>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</si>
  <si>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</si>
  <si>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</si>
  <si>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</si>
  <si>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</si>
  <si>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</si>
  <si>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</si>
  <si>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</si>
  <si>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</si>
  <si>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</si>
  <si>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</si>
  <si>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</si>
  <si>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</si>
  <si>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</si>
  <si>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</si>
  <si>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</si>
  <si>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</si>
  <si>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</si>
  <si>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</si>
  <si>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</si>
  <si>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</si>
  <si>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</si>
  <si>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</si>
  <si>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</si>
  <si>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</si>
  <si>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</si>
  <si>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</si>
  <si>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</si>
  <si>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</si>
  <si>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</si>
  <si>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</si>
  <si>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</si>
  <si>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</si>
  <si>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</si>
  <si>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</si>
  <si>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</si>
  <si>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</si>
  <si>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</si>
  <si>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</si>
  <si>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</si>
  <si>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</si>
  <si>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</si>
  <si>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</si>
  <si>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</si>
  <si>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</si>
  <si>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</si>
  <si>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</si>
  <si>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</si>
  <si>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</si>
  <si>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</si>
  <si>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</si>
  <si>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</si>
  <si>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</si>
  <si>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</si>
  <si>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</si>
  <si>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</si>
  <si>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</si>
  <si>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</si>
  <si>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</si>
  <si>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</si>
  <si>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</si>
  <si>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</si>
  <si>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</si>
  <si>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</si>
  <si>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</si>
  <si>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</si>
  <si>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</si>
  <si>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</si>
  <si>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</si>
  <si>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</si>
  <si>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</si>
  <si>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</si>
  <si>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</si>
  <si>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</si>
  <si>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</si>
  <si>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</si>
  <si>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</si>
  <si>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</si>
  <si>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</si>
  <si>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</si>
  <si>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</si>
  <si>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</si>
  <si>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</si>
  <si>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</si>
  <si>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</si>
  <si>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</si>
  <si>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</si>
  <si>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</si>
  <si>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</si>
  <si>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</si>
  <si>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</si>
  <si>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</si>
  <si>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</si>
  <si>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</si>
  <si>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</si>
  <si>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</si>
  <si>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</si>
  <si>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</si>
  <si>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</si>
  <si>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</si>
  <si>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</si>
  <si>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</si>
  <si>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</si>
  <si>
    <t>SOLSONA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</si>
</sst>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soELaLDgrtcdVBZHx3lKVLIMgmqU+3PmXyq8F9+0drfslfiN9ViWk52fWYHBZzUkGCTuiD72zCjp/RfdgdtDQ==" saltValue="p4CqcI6eODNJBxFvfUjb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SOLSONA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v>
      </c>
      <c r="F10" s="404">
        <f>IF(ISNUMBER(E10/B10),E10/B10," - ")</f>
        <v>1</v>
      </c>
      <c r="G10" s="403">
        <f>IF(ISNUMBER(Datos!K10),Datos!K10," - ")</f>
        <v>2</v>
      </c>
      <c r="H10" s="404">
        <f>IF(ISNUMBER(G10/B10),G10/B10," - ")</f>
        <v>2</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936</v>
      </c>
      <c r="D12" s="404">
        <f>IF(ISNUMBER(C12/Datos!BH12),C12/Datos!BH12," - ")</f>
        <v>936</v>
      </c>
      <c r="E12" s="403">
        <f>IF(ISNUMBER(IF(J_V="SI",Datos!J12,Datos!J12+Datos!Z12)),IF(J_V="SI",Datos!J12,Datos!J12+Datos!Z12)," - ")</f>
        <v>185</v>
      </c>
      <c r="F12" s="404">
        <f>IF(ISNUMBER(E12/B12),E12/B12," - ")</f>
        <v>185</v>
      </c>
      <c r="G12" s="403">
        <f>IF(ISNUMBER(IF(J_V="SI",Datos!K12,Datos!K12+Datos!AA12)),IF(J_V="SI",Datos!K12,Datos!K12+Datos!AA12)," - ")</f>
        <v>115</v>
      </c>
      <c r="H12" s="404">
        <f>IF(ISNUMBER(G12/B12),G12/B12," - ")</f>
        <v>115</v>
      </c>
      <c r="I12" s="403">
        <f>IF(ISNUMBER(IF(J_V="SI",Datos!L12,Datos!L12+Datos!AB12)),IF(J_V="SI",Datos!L12,Datos!L12+Datos!AB12)," - ")</f>
        <v>1006</v>
      </c>
      <c r="J12" s="404">
        <f>IF(ISNUMBER(I12/B12),I12/B12," - ")</f>
        <v>1006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943</v>
      </c>
      <c r="D13" s="850" t="str">
        <f>IF(ISNUMBER(C13/Datos!BI13),C13/Datos!BI13," - ")</f>
        <v xml:space="preserve"> - </v>
      </c>
      <c r="E13" s="849">
        <f>SUBTOTAL(9,E8:E12)</f>
        <v>186</v>
      </c>
      <c r="F13" s="850">
        <f>IF(ISNUMBER(E13/B13),E13/B13," - ")</f>
        <v>186</v>
      </c>
      <c r="G13" s="849">
        <f>SUBTOTAL(9,G8:G12)</f>
        <v>117</v>
      </c>
      <c r="H13" s="850">
        <f>IF(ISNUMBER(G13/B13),G13/B13," - ")</f>
        <v>117</v>
      </c>
      <c r="I13" s="849">
        <f>SUBTOTAL(9,I8:I12)</f>
        <v>1011</v>
      </c>
      <c r="J13" s="850">
        <f>IF(ISNUMBER(I13/B13),I13/B13," - ")</f>
        <v>1011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541</v>
      </c>
      <c r="D16" s="404">
        <f>IF(ISNUMBER(C16/Datos!BH16),C16/Datos!BH16," - ")</f>
        <v>541</v>
      </c>
      <c r="E16" s="403">
        <f>IF(ISNUMBER(IF(D_I="SI",Datos!J16,Datos!J16+Datos!AD16)),IF(D_I="SI",Datos!J16,Datos!J16+Datos!AD16)," - ")</f>
        <v>201</v>
      </c>
      <c r="F16" s="404">
        <f>IF(ISNUMBER(E16/B16),E16/B16," - ")</f>
        <v>201</v>
      </c>
      <c r="G16" s="403">
        <f>IF(ISNUMBER(IF(D_I="SI",Datos!K16,Datos!K16+Datos!AE16)),IF(D_I="SI",Datos!K16,Datos!K16+Datos!AE16)," - ")</f>
        <v>295</v>
      </c>
      <c r="H16" s="404">
        <f>IF(ISNUMBER(G16/B16),G16/B16," - ")</f>
        <v>295</v>
      </c>
      <c r="I16" s="403">
        <f>IF(ISNUMBER(IF(D_I="SI",Datos!L16,Datos!L16+Datos!AF16)),IF(D_I="SI",Datos!L16,Datos!L16+Datos!AF16)," - ")</f>
        <v>441</v>
      </c>
      <c r="J16" s="404">
        <f>IF(ISNUMBER(I16/B16),I16/B16," - ")</f>
        <v>441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17</v>
      </c>
      <c r="F17" s="404">
        <f>IF(ISNUMBER(E17/B17),E17/B17," - ")</f>
        <v>17</v>
      </c>
      <c r="G17" s="403">
        <f>IF(ISNUMBER(IF(D_I="SI",Datos!K17,Datos!K17+Datos!AE17)),IF(D_I="SI",Datos!K17,Datos!K17+Datos!AE17)," - ")</f>
        <v>10</v>
      </c>
      <c r="H17" s="404">
        <f>IF(ISNUMBER(G17/B17),G17/B17," - ")</f>
        <v>10</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607</v>
      </c>
      <c r="D18" s="850" t="str">
        <f>IF(ISNUMBER(C18/Datos!BI18),C18/Datos!BI18," - ")</f>
        <v xml:space="preserve"> - </v>
      </c>
      <c r="E18" s="849">
        <f>SUBTOTAL(9,E14:E17)</f>
        <v>218</v>
      </c>
      <c r="F18" s="850">
        <f>IF(ISNUMBER(E18/B18),E18/B18," - ")</f>
        <v>218</v>
      </c>
      <c r="G18" s="849">
        <f>SUBTOTAL(9,G14:G17)</f>
        <v>305</v>
      </c>
      <c r="H18" s="850">
        <f>IF(ISNUMBER(G18/B18),G18/B18," - ")</f>
        <v>305</v>
      </c>
      <c r="I18" s="849">
        <f>SUBTOTAL(9,I14:I17)</f>
        <v>514</v>
      </c>
      <c r="J18" s="850">
        <f>IF(ISNUMBER(I18/B18),I18/B18," - ")</f>
        <v>514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1550</v>
      </c>
      <c r="D19" s="795" t="str">
        <f>IF(ISNUMBER(C19/Datos!BI19),C19/Datos!BI19," - ")</f>
        <v xml:space="preserve"> - </v>
      </c>
      <c r="E19" s="794">
        <f>SUBTOTAL(9,E9:E18)</f>
        <v>404</v>
      </c>
      <c r="F19" s="795">
        <f>IF(ISNUMBER(E19/B19),E19/B19," - ")</f>
        <v>404</v>
      </c>
      <c r="G19" s="794">
        <f>SUBTOTAL(9,G9:G18)</f>
        <v>422</v>
      </c>
      <c r="H19" s="795">
        <f>IF(ISNUMBER(G19/B19),G19/B19," - ")</f>
        <v>422</v>
      </c>
      <c r="I19" s="794">
        <f>SUBTOTAL(9,I9:I18)</f>
        <v>1525</v>
      </c>
      <c r="J19" s="795">
        <f>IF(ISNUMBER(I19/B19),I19/B19," - ")</f>
        <v>1525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VVHvTKQSoJPZpvyP4Mvsy69PoNLWrsJVAQ3oGSRclpFSd649Zd6GJIgeLw6qHYzKdXH1zK8f3dAvpY/ix4wRg==" saltValue="y9o7SbzeQAUwj3iVzXKX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SOLSONA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cDXqCSiGKOjiwb6MtZw8MUaybIZFt2NIGyjTU4fmMoeqt1dQYo26fVm5p6lqVaxbsE1AJ7H34i0D7Gvm9JY/A==" saltValue="TlVd8dMoFb/O05diJSQS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SOLSONA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35</v>
      </c>
      <c r="E12" s="404">
        <f t="shared" si="0"/>
        <v>35</v>
      </c>
      <c r="F12" s="403">
        <f>IF(ISNUMBER(Datos!N12),Datos!N12," - ")</f>
        <v>41</v>
      </c>
      <c r="G12" s="404">
        <f t="shared" si="1"/>
        <v>41</v>
      </c>
      <c r="H12" s="403">
        <f>IF(ISNUMBER(Datos!O12),Datos!O12," - ")</f>
        <v>56</v>
      </c>
      <c r="I12" s="404">
        <f t="shared" si="2"/>
        <v>56</v>
      </c>
      <c r="BZ12" s="1186">
        <f>Datos!EZ12</f>
        <v>0</v>
      </c>
    </row>
    <row r="13" spans="1:78" ht="14.25" thickTop="1" thickBot="1">
      <c r="A13" s="848" t="str">
        <f>Datos!A13</f>
        <v>TOTAL</v>
      </c>
      <c r="B13" s="849">
        <f>Datos!AP13</f>
        <v>1</v>
      </c>
      <c r="C13" s="851">
        <f>Datos!AR13</f>
        <v>1</v>
      </c>
      <c r="D13" s="849">
        <f>SUBTOTAL(9,D9:D12)</f>
        <v>37</v>
      </c>
      <c r="E13" s="850">
        <f t="shared" si="0"/>
        <v>37</v>
      </c>
      <c r="F13" s="849">
        <f>SUBTOTAL(9,F9:F12)</f>
        <v>41</v>
      </c>
      <c r="G13" s="850">
        <f t="shared" si="1"/>
        <v>41</v>
      </c>
      <c r="H13" s="849">
        <f>SUBTOTAL(9,H9:H12)</f>
        <v>56</v>
      </c>
      <c r="I13" s="850">
        <f>IF(ISNUMBER(H13/B13),H13/B13," - ")</f>
        <v>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257</v>
      </c>
      <c r="G16" s="404">
        <f t="shared" si="4"/>
        <v>257</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269</v>
      </c>
      <c r="G18" s="850">
        <f t="shared" si="4"/>
        <v>269</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52</v>
      </c>
      <c r="E19" s="795">
        <f>IF(ISNUMBER(D19/B19),D19/B19," - ")</f>
        <v>52</v>
      </c>
      <c r="F19" s="794">
        <f>SUBTOTAL(9,F8:F18)</f>
        <v>310</v>
      </c>
      <c r="G19" s="795">
        <f>IF(ISNUMBER(F19/B19),F19/B19," - ")</f>
        <v>310</v>
      </c>
      <c r="H19" s="794">
        <f>SUBTOTAL(9,H8:H18)</f>
        <v>57</v>
      </c>
      <c r="I19" s="795">
        <f>IF(ISNUMBER(H19/B19),H19/B19," - ")</f>
        <v>57</v>
      </c>
    </row>
    <row r="22" spans="1:78">
      <c r="A22" s="391" t="str">
        <f>Criterios!A4</f>
        <v>Fecha Informe: 29 nov. 2024</v>
      </c>
    </row>
    <row r="27" spans="1:78">
      <c r="A27" s="414"/>
    </row>
  </sheetData>
  <sheetProtection algorithmName="SHA-512" hashValue="TPcJYCAT3CbcNhTeby0JwfO+XJgd8zTaDeKfGbvazICG4i78SjtoIiLRsFvfIJce/4X6HP/W0MkGQ24yOaEi2w==" saltValue="rzpHrt3UWzFm5z2PhtdC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SOLSONA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21</v>
      </c>
      <c r="D12" s="408">
        <f>IF(ISNUMBER(Datos!R12),Datos!R12," - ")</f>
        <v>737</v>
      </c>
    </row>
    <row r="13" spans="1:4" ht="14.25" thickTop="1" thickBot="1">
      <c r="A13" s="848" t="str">
        <f>Datos!A13</f>
        <v>TOTAL</v>
      </c>
      <c r="B13" s="849">
        <f>SUBTOTAL(9,B9:B12)</f>
        <v>19</v>
      </c>
      <c r="C13" s="853">
        <f>SUBTOTAL(9,C9:C12)</f>
        <v>21</v>
      </c>
      <c r="D13" s="851">
        <f>SUBTOTAL(9,D9:D12)</f>
        <v>737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19</v>
      </c>
    </row>
    <row r="19" spans="1:4" ht="16.5" customHeight="1" thickTop="1" thickBot="1">
      <c r="A19" s="793" t="str">
        <f>Datos!A19</f>
        <v>TOTAL JURISDICCIONES</v>
      </c>
      <c r="B19" s="798">
        <f>SUBTOTAL(9,B8:B18)</f>
        <v>21</v>
      </c>
      <c r="C19" s="799">
        <f>SUBTOTAL(9,C8:C18)</f>
        <v>22</v>
      </c>
      <c r="D19" s="800">
        <f>SUBTOTAL(9,D8:D18)</f>
        <v>756</v>
      </c>
    </row>
    <row r="20" spans="1:4" ht="7.5" customHeight="1"/>
    <row r="21" spans="1:4" ht="6" customHeight="1"/>
    <row r="22" spans="1:4">
      <c r="A22" s="391" t="str">
        <f>Criterios!A4</f>
        <v>Fecha Informe: 29 nov. 2024</v>
      </c>
    </row>
    <row r="27" spans="1:4">
      <c r="A27" s="414"/>
    </row>
  </sheetData>
  <sheetProtection algorithmName="SHA-512" hashValue="zSxfjLk8z2XkEEEr0cS4FixBi6dBw2p/NLgAlRFTfIieDIz+seJBS/AUgAbzFBAIZ50aRkFHngzDqjn+z2QxWA==" saltValue="HdR05devlnlcJsYDb3AX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SOLSONA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0.4203338391502276</v>
      </c>
      <c r="C12" s="456">
        <f>IF(ISNUMBER(
   IF(J_V="SI",(Datos!J12-Datos!T12)/Datos!T12,(Datos!J12+Datos!Z12-(Datos!T12+Datos!AH12))/(Datos!T12+Datos!AH12))
     ),IF(J_V="SI",(Datos!J12-Datos!T12)/Datos!T12,(Datos!J12+Datos!Z12-(Datos!T12+Datos!AH12))/(Datos!T12+Datos!AH12))," - ")</f>
        <v>0.42307692307692307</v>
      </c>
      <c r="D12" s="456">
        <f>IF(ISNUMBER(
   IF(J_V="SI",(Datos!K12-Datos!U12)/Datos!U12,(Datos!K12+Datos!AA12-(Datos!U12+Datos!AI12))/(Datos!U12+Datos!AI12))
     ),IF(J_V="SI",(Datos!K12-Datos!U12)/Datos!U12,(Datos!K12+Datos!AA12-(Datos!U12+Datos!AI12))/(Datos!U12+Datos!AI12))," - ")</f>
        <v>-0.17266187050359713</v>
      </c>
      <c r="E12" s="456">
        <f>IF(ISNUMBER(
   IF(J_V="SI",(Datos!L12-Datos!V12)/Datos!V12,(Datos!L12+Datos!AB12-(Datos!V12+Datos!AJ12))/(Datos!V12+Datos!AJ12))
     ),IF(J_V="SI",(Datos!L12-Datos!V12)/Datos!V12,(Datos!L12+Datos!AB12-(Datos!V12+Datos!AJ12))/(Datos!V12+Datos!AJ12))," - ")</f>
        <v>0.5476923076923077</v>
      </c>
      <c r="F12" s="456">
        <f>IF(ISNUMBER((Datos!M12-Datos!W12)/Datos!W12),(Datos!M12-Datos!W12)/Datos!W12," - ")</f>
        <v>-0.18604651162790697</v>
      </c>
      <c r="G12" s="457">
        <f>IF(ISNUMBER((Datos!N12-Datos!X12)/Datos!X12),(Datos!N12-Datos!X12)/Datos!X12," - ")</f>
        <v>-0.36923076923076925</v>
      </c>
      <c r="H12" s="455">
        <f>IF(ISNUMBER(((NºAsuntos!G12/NºAsuntos!E12)-Datos!BD12)/Datos!BD12),((NºAsuntos!G12/NºAsuntos!E12)-Datos!BD12)/Datos!BD12," - ")</f>
        <v>-0.41862726035387904</v>
      </c>
      <c r="I12" s="456">
        <f>IF(ISNUMBER(((NºAsuntos!I12/NºAsuntos!G12)-Datos!BE12)/Datos!BE12),((NºAsuntos!I12/NºAsuntos!G12)-Datos!BE12)/Datos!BE12," - ")</f>
        <v>0.87068896321070233</v>
      </c>
      <c r="J12" s="461">
        <f>IF(ISNUMBER((('Resol  Asuntos'!D12/NºAsuntos!G12)-Datos!BF12)/Datos!BF12),(('Resol  Asuntos'!D12/NºAsuntos!G12)-Datos!BF12)/Datos!BF12," - ")</f>
        <v>-0.34916387959866213</v>
      </c>
      <c r="K12" s="462">
        <f>IF(ISNUMBER((((NºAsuntos!C12+NºAsuntos!E12)/NºAsuntos!G12)-Datos!BG12)/Datos!BG12),(((NºAsuntos!C12+NºAsuntos!E12)/NºAsuntos!G12)-Datos!BG12)/Datos!BG12," - ")</f>
        <v>0.71729762495178262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0.42662632375189108</v>
      </c>
      <c r="C13" s="855">
        <f>IF(ISNUMBER(
   IF(J_V="SI",(Datos!J13-Datos!T13)/Datos!T13,(Datos!J13+Datos!Z13-(Datos!T13+Datos!AH13))/(Datos!T13+Datos!AH13))
     ),IF(J_V="SI",(Datos!J13-Datos!T13)/Datos!T13,(Datos!J13+Datos!Z13-(Datos!T13+Datos!AH13))/(Datos!T13+Datos!AH13))," - ")</f>
        <v>0.43076923076923079</v>
      </c>
      <c r="D13" s="855">
        <f>IF(ISNUMBER(
   IF(J_V="SI",(Datos!K13-Datos!U13)/Datos!U13,(Datos!K13+Datos!AA13-(Datos!U13+Datos!AI13))/(Datos!U13+Datos!AI13))
     ),IF(J_V="SI",(Datos!K13-Datos!U13)/Datos!U13,(Datos!K13+Datos!AA13-(Datos!U13+Datos!AI13))/(Datos!U13+Datos!AI13))," - ")</f>
        <v>-0.15827338129496402</v>
      </c>
      <c r="E13" s="855">
        <f>IF(ISNUMBER(
   IF(J_V="SI",(Datos!L13-Datos!V13)/Datos!V13,(Datos!L13+Datos!AB13-(Datos!V13+Datos!AJ13))/(Datos!V13+Datos!AJ13))
     ),IF(J_V="SI",(Datos!L13-Datos!V13)/Datos!V13,(Datos!L13+Datos!AB13-(Datos!V13+Datos!AJ13))/(Datos!V13+Datos!AJ13))," - ")</f>
        <v>0.55061349693251538</v>
      </c>
      <c r="F13" s="856">
        <f>IF(ISNUMBER((Datos!M13-Datos!W13)/Datos!W13),(Datos!M13-Datos!W13)/Datos!W13," - ")</f>
        <v>-0.13953488372093023</v>
      </c>
      <c r="G13" s="857">
        <f>IF(ISNUMBER((Datos!N13-Datos!X13)/Datos!X13),(Datos!N13-Datos!X13)/Datos!X13," - ")</f>
        <v>-0.36923076923076925</v>
      </c>
      <c r="H13" s="857">
        <f>IF(ISNUMBER(((NºAsuntos!G13/NºAsuntos!E13)-Datos!BD13)/Datos!BD13),((NºAsuntos!G13/NºAsuntos!E13)-Datos!BD13)/Datos!BD13," - ")</f>
        <v>-0.41169644929217913</v>
      </c>
      <c r="I13" s="857">
        <f>IF(ISNUMBER(((NºAsuntos!I13/NºAsuntos!G13)-Datos!BE13)/Datos!BE13),((NºAsuntos!I13/NºAsuntos!G13)-Datos!BE13)/Datos!BE13," - ")</f>
        <v>0.84218184678307362</v>
      </c>
      <c r="J13" s="857">
        <f>IF(ISNUMBER((('Resol  Asuntos'!D13/NºAsuntos!G13)-Datos!BF13)/Datos!BF13),(('Resol  Asuntos'!D13/NºAsuntos!G13)-Datos!BF13)/Datos!BF13," - ")</f>
        <v>-0.32373438527284681</v>
      </c>
      <c r="K13" s="857">
        <f>IF(ISNUMBER((((NºAsuntos!C13+NºAsuntos!E13)/NºAsuntos!G13)-Datos!BG13)/Datos!BG13),(((NºAsuntos!C13+NºAsuntos!E13)/NºAsuntos!G13)-Datos!BG13)/Datos!BG13," - ")</f>
        <v>0.69568975763666019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0.38717948717948719</v>
      </c>
      <c r="C16" s="456">
        <f>IF(ISNUMBER(
   IF(D_I="SI",(Datos!J16-Datos!T16)/Datos!T16,(Datos!J16+Datos!AD16-(Datos!T16+Datos!AL16))/(Datos!T16+Datos!AL16))
     ),IF(D_I="SI",(Datos!J16-Datos!T16)/Datos!T16,(Datos!J16+Datos!AD16-(Datos!T16+Datos!AL16))/(Datos!T16+Datos!AL16))," - ")</f>
        <v>0.16184971098265896</v>
      </c>
      <c r="D16" s="456">
        <f>IF(ISNUMBER(
   IF(D_I="SI",(Datos!K16-Datos!U16)/Datos!U16,(Datos!K16+Datos!AE16-(Datos!U16+Datos!AM16))/(Datos!U16+Datos!AM16))
     ),IF(D_I="SI",(Datos!K16-Datos!U16)/Datos!U16,(Datos!K16+Datos!AE16-(Datos!U16+Datos!AM16))/(Datos!U16+Datos!AM16))," - ")</f>
        <v>0.9932432432432432</v>
      </c>
      <c r="E16" s="456">
        <f>IF(ISNUMBER(
   IF(D_I="SI",(Datos!L16-Datos!V16)/Datos!V16,(Datos!L16+Datos!AF16-(Datos!V16+Datos!AN16))/(Datos!V16+Datos!AN16))
     ),IF(D_I="SI",(Datos!L16-Datos!V16)/Datos!V16,(Datos!L16+Datos!AF16-(Datos!V16+Datos!AN16))/(Datos!V16+Datos!AN16))," - ")</f>
        <v>6.2650602409638559E-2</v>
      </c>
      <c r="F16" s="456">
        <f>IF(ISNUMBER((Datos!M16-Datos!W16)/Datos!W16),(Datos!M16-Datos!W16)/Datos!W16," - ")</f>
        <v>-0.125</v>
      </c>
      <c r="G16" s="457">
        <f>IF(ISNUMBER((Datos!N16-Datos!X16)/Datos!X16),(Datos!N16-Datos!X16)/Datos!X16," - ")</f>
        <v>1.2347826086956522</v>
      </c>
      <c r="H16" s="455">
        <f>IF(ISNUMBER(((NºAsuntos!G16/NºAsuntos!E16)-Datos!BD16)/Datos!BD16),((NºAsuntos!G16/NºAsuntos!E16)-Datos!BD16)/Datos!BD16," - ")</f>
        <v>0.71557751781632384</v>
      </c>
      <c r="I16" s="456">
        <f>IF(ISNUMBER(((NºAsuntos!I16/NºAsuntos!G16)-Datos!BE16)/Datos!BE16),((NºAsuntos!I16/NºAsuntos!G16)-Datos!BE16)/Datos!BE16," - ")</f>
        <v>-0.46687359607923218</v>
      </c>
      <c r="J16" s="461">
        <f>IF(ISNUMBER((('Resol  Asuntos'!D16/NºAsuntos!G16)-Datos!BF16)/Datos!BF16),(('Resol  Asuntos'!D16/NºAsuntos!G16)-Datos!BF16)/Datos!BF16," - ")</f>
        <v>-0.56101694915254241</v>
      </c>
      <c r="K16" s="462">
        <f>IF(ISNUMBER((((NºAsuntos!C16+NºAsuntos!E16)/NºAsuntos!G16)-Datos!BG16)/Datos!BG16),(((NºAsuntos!C16+NºAsuntos!E16)/NºAsuntos!G16)-Datos!BG16)/Datos!BG16," - ")</f>
        <v>-0.33879639943402479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0.13793103448275862</v>
      </c>
      <c r="C17" s="456">
        <f>IF(ISNUMBER(
   IF(D_I="SI",(Datos!J17-Datos!T17)/Datos!T17,(Datos!J17+Datos!AD17-(Datos!T17+Datos!AL17))/(Datos!T17+Datos!AL17))
     ),IF(D_I="SI",(Datos!J17-Datos!T17)/Datos!T17,(Datos!J17+Datos!AD17-(Datos!T17+Datos!AL17))/(Datos!T17+Datos!AL17))," - ")</f>
        <v>-0.51428571428571423</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-0.75</v>
      </c>
      <c r="G17" s="457">
        <f>IF(ISNUMBER((Datos!N17-Datos!X17)/Datos!X17),(Datos!N17-Datos!X17)/Datos!X17," - ")</f>
        <v>0.5</v>
      </c>
      <c r="H17" s="455">
        <f>IF(ISNUMBER(((NºAsuntos!G17/NºAsuntos!E17)-Datos!BD17)/Datos!BD17),((NºAsuntos!G17/NºAsuntos!E17)-Datos!BD17)/Datos!BD17," - ")</f>
        <v>2.9411764705882443E-2</v>
      </c>
      <c r="I17" s="456">
        <f>IF(ISNUMBER(((NºAsuntos!I17/NºAsuntos!G17)-Datos!BE17)/Datos!BE17),((NºAsuntos!I17/NºAsuntos!G17)-Datos!BE17)/Datos!BE17," - ")</f>
        <v>1</v>
      </c>
      <c r="J17" s="461">
        <f>IF(ISNUMBER((('Resol  Asuntos'!D17/NºAsuntos!G17)-Datos!BF17)/Datos!BF17),(('Resol  Asuntos'!D17/NºAsuntos!G17)-Datos!BF17)/Datos!BF17," - ")</f>
        <v>-0.5</v>
      </c>
      <c r="K17" s="462">
        <f>IF(ISNUMBER((((NºAsuntos!C17+NºAsuntos!E17)/NºAsuntos!G17)-Datos!BG17)/Datos!BG17),(((NºAsuntos!C17+NºAsuntos!E17)/NºAsuntos!G17)-Datos!BG17)/Datos!BG17," - ")</f>
        <v>0.78494623655913975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0.3549107142857143</v>
      </c>
      <c r="C18" s="855">
        <f>IF(ISNUMBER(
   IF(Criterios!B14="SI",(Datos!J18-Datos!T18)/Datos!T18,(Datos!J18+Datos!AD18-(Datos!T18+Datos!AL18))/(Datos!T18+Datos!AL18))
     ),IF(Criterios!B14="SI",(Datos!J18-Datos!T18)/Datos!T18,(Datos!J18+Datos!AD18-(Datos!T18+Datos!AL18))/(Datos!T18+Datos!AL18))," - ")</f>
        <v>4.807692307692308E-2</v>
      </c>
      <c r="D18" s="855">
        <f>IF(ISNUMBER(
   IF(Criterios!B14="SI",(Datos!K18-Datos!U18)/Datos!U18,(Datos!K18+Datos!AE18-(Datos!U18+Datos!AM18))/(Datos!U18+Datos!AM18))
     ),IF(Criterios!B14="SI",(Datos!K18-Datos!U18)/Datos!U18,(Datos!K18+Datos!AE18-(Datos!U18+Datos!AM18))/(Datos!U18+Datos!AM18))," - ")</f>
        <v>0.81547619047619047</v>
      </c>
      <c r="E18" s="855">
        <f>IF(ISNUMBER(
   IF(Criterios!B14="SI",(Datos!L18-Datos!V18)/Datos!V18,(Datos!L18+Datos!AF18-(Datos!V18+Datos!AN18))/(Datos!V18+Datos!AN18))
     ),IF(Criterios!B14="SI",(Datos!L18-Datos!V18)/Datos!V18,(Datos!L18+Datos!AF18-(Datos!V18+Datos!AN18))/(Datos!V18+Datos!AN18))," - ")</f>
        <v>5.3278688524590161E-2</v>
      </c>
      <c r="F18" s="856">
        <f>IF(ISNUMBER((Datos!M18-Datos!W18)/Datos!W18),(Datos!M18-Datos!W18)/Datos!W18," - ")</f>
        <v>-0.25</v>
      </c>
      <c r="G18" s="857">
        <f>IF(ISNUMBER((Datos!N18-Datos!X18)/Datos!X18),(Datos!N18-Datos!X18)/Datos!X18," - ")</f>
        <v>1.1869918699186992</v>
      </c>
      <c r="H18" s="857">
        <f>IF(ISNUMBER(((NºAsuntos!G18/NºAsuntos!E18)-Datos!BD18)/Datos!BD18),((NºAsuntos!G18/NºAsuntos!E18)-Datos!BD18)/Datos!BD18," - ")</f>
        <v>0.73219746614242021</v>
      </c>
      <c r="I18" s="857">
        <f>IF(ISNUMBER(((NºAsuntos!I18/NºAsuntos!G18)-Datos!BE18)/Datos!BE18),((NºAsuntos!I18/NºAsuntos!G18)-Datos!BE18)/Datos!BE18," - ")</f>
        <v>-0.41983337812416016</v>
      </c>
      <c r="J18" s="857">
        <f>IF(ISNUMBER((('Resol  Asuntos'!D18/NºAsuntos!G18)-Datos!BF18)/Datos!BF18),(('Resol  Asuntos'!D18/NºAsuntos!G18)-Datos!BF18)/Datos!BF18," - ")</f>
        <v>-0.58688524590163937</v>
      </c>
      <c r="K18" s="857">
        <f>IF(ISNUMBER((((NºAsuntos!C18+NºAsuntos!E18)/NºAsuntos!G18)-Datos!BG18)/Datos!BG18),(((NºAsuntos!C18+NºAsuntos!E18)/NºAsuntos!G18)-Datos!BG18)/Datos!BG18," - ")</f>
        <v>-0.30727708916433422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0.39765554553651938</v>
      </c>
      <c r="C19" s="802">
        <f>IF(ISNUMBER(
   IF(J_V="SI",(Datos!J19-Datos!T19)/Datos!T19,(Datos!J19+Datos!Z19-(Datos!T19+Datos!AH19))/(Datos!T19+Datos!AH19))
     ),IF(J_V="SI",(Datos!J19-Datos!T19)/Datos!T19,(Datos!J19+Datos!Z19-(Datos!T19+Datos!AH19))/(Datos!T19+Datos!AH19))," - ")</f>
        <v>0.19526627218934911</v>
      </c>
      <c r="D19" s="802">
        <f>IF(ISNUMBER(
   IF(J_V="SI",(Datos!K19-Datos!U19)/Datos!U19,(Datos!K19+Datos!AA19-(Datos!U19+Datos!AI19))/(Datos!U19+Datos!AI19))
     ),IF(J_V="SI",(Datos!K19-Datos!U19)/Datos!U19,(Datos!K19+Datos!AA19-(Datos!U19+Datos!AI19))/(Datos!U19+Datos!AI19))," - ")</f>
        <v>0.3745928338762215</v>
      </c>
      <c r="E19" s="802">
        <f>IF(ISNUMBER(
   IF(J_V="SI",(Datos!L19-Datos!V19)/Datos!V19,(Datos!L19+Datos!AB19-(Datos!V19+Datos!AJ19))/(Datos!V19+Datos!AJ19))
     ),IF(J_V="SI",(Datos!L19-Datos!V19)/Datos!V19,(Datos!L19+Datos!AB19-(Datos!V19+Datos!AJ19))/(Datos!V19+Datos!AJ19))," - ")</f>
        <v>0.33771929824561403</v>
      </c>
      <c r="F19" s="803">
        <f>IF(ISNUMBER((Datos!M19-Datos!W19)/Datos!W19),(Datos!M19-Datos!W19)/Datos!W19," - ")</f>
        <v>-0.17460317460317459</v>
      </c>
      <c r="G19" s="804">
        <f>IF(ISNUMBER((Datos!N19-Datos!X19)/Datos!X19),(Datos!N19-Datos!X19)/Datos!X19," - ")</f>
        <v>0.64893617021276595</v>
      </c>
      <c r="H19" s="805">
        <f>IF(ISNUMBER((Tasas!B19-Datos!BD19)/Datos!BD19),(Tasas!B19-Datos!BD19)/Datos!BD19," - ")</f>
        <v>0.15003063824297747</v>
      </c>
      <c r="I19" s="806">
        <f>IF(ISNUMBER((Tasas!C19-Datos!BE19)/Datos!BE19),(Tasas!C19-Datos!BE19)/Datos!BE19," - ")</f>
        <v>-2.682506028103435E-2</v>
      </c>
      <c r="J19" s="807">
        <f>IF(ISNUMBER((Tasas!D19-Datos!BF19)/Datos!BF19),(Tasas!D19-Datos!BF19)/Datos!BF19," - ")</f>
        <v>-0.55494842486757745</v>
      </c>
      <c r="K19" s="807">
        <f>IF(ISNUMBER((Tasas!E19-Datos!BG19)/Datos!BG19),(Tasas!E19-Datos!BG19)/Datos!BG19," - ")</f>
        <v>-1.7614479377171904E-2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IonABPiWbVbb9i8KMTeNYS4QOsEnLer3r9/71DOn6obf0Pk+M1KLxDrk2bJ80vlQH/iqbTLugHPr+DgsA1SoA==" saltValue="Uu0AAlw7xudeSkwNGO+M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SOLSONA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2.5</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0.6216216216216216</v>
      </c>
      <c r="C12" s="443">
        <f>IF(ISNUMBER(NºAsuntos!I12/NºAsuntos!G12),NºAsuntos!I12/NºAsuntos!G12," - ")</f>
        <v>8.7478260869565219</v>
      </c>
      <c r="D12" s="444">
        <f>IF(ISNUMBER('Resol  Asuntos'!D12/NºAsuntos!G12),'Resol  Asuntos'!D12/NºAsuntos!G12," - ")</f>
        <v>0.30434782608695654</v>
      </c>
      <c r="E12" s="445">
        <f>IF(ISNUMBER((NºAsuntos!C12+NºAsuntos!E12)/NºAsuntos!G12),(NºAsuntos!C12+NºAsuntos!E12)/NºAsuntos!G12," - ")</f>
        <v>9.7478260869565219</v>
      </c>
      <c r="G12" s="463"/>
    </row>
    <row r="13" spans="1:7" ht="14.25" thickTop="1" thickBot="1">
      <c r="A13" s="848" t="str">
        <f>Datos!A13</f>
        <v>TOTAL</v>
      </c>
      <c r="B13" s="858">
        <f>IF(ISNUMBER(NºAsuntos!G13/NºAsuntos!E13),NºAsuntos!G13/NºAsuntos!E13," - ")</f>
        <v>0.62903225806451613</v>
      </c>
      <c r="C13" s="859">
        <f>IF(ISNUMBER(NºAsuntos!I13/NºAsuntos!G13),NºAsuntos!I13/NºAsuntos!G13," - ")</f>
        <v>8.6410256410256405</v>
      </c>
      <c r="D13" s="860">
        <f>IF(ISNUMBER('Resol  Asuntos'!D13/NºAsuntos!G13),'Resol  Asuntos'!D13/NºAsuntos!G13," - ")</f>
        <v>0.31623931623931623</v>
      </c>
      <c r="E13" s="861">
        <f>IF(ISNUMBER((NºAsuntos!C13+NºAsuntos!E13)/NºAsuntos!G13),(NºAsuntos!C13+NºAsuntos!E13)/NºAsuntos!G13," - ")</f>
        <v>9.649572649572649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1.4676616915422886</v>
      </c>
      <c r="C16" s="443">
        <f>IF(ISNUMBER(NºAsuntos!I16/NºAsuntos!G16),NºAsuntos!I16/NºAsuntos!G16," - ")</f>
        <v>1.4949152542372881</v>
      </c>
      <c r="D16" s="444">
        <f>IF(ISNUMBER('Resol  Asuntos'!D16/NºAsuntos!G16),'Resol  Asuntos'!D16/NºAsuntos!G16," - ")</f>
        <v>4.7457627118644069E-2</v>
      </c>
      <c r="E16" s="445">
        <f>IF(ISNUMBER((NºAsuntos!C16+NºAsuntos!E16)/NºAsuntos!G16),(NºAsuntos!C16+NºAsuntos!E16)/NºAsuntos!G16," - ")</f>
        <v>2.5152542372881355</v>
      </c>
      <c r="G16" s="463"/>
    </row>
    <row r="17" spans="1:7" ht="13.5" thickBot="1">
      <c r="A17" s="402" t="str">
        <f>Datos!A17</f>
        <v>Jdos. Violencia contra la mujer</v>
      </c>
      <c r="B17" s="442">
        <f>IF(ISNUMBER(NºAsuntos!G17/NºAsuntos!E17),NºAsuntos!G17/NºAsuntos!E17," - ")</f>
        <v>0.58823529411764708</v>
      </c>
      <c r="C17" s="443">
        <f>IF(ISNUMBER(NºAsuntos!I17/NºAsuntos!G17),NºAsuntos!I17/NºAsuntos!G17," - ")</f>
        <v>7.3</v>
      </c>
      <c r="D17" s="444">
        <f>IF(ISNUMBER('Resol  Asuntos'!D17/NºAsuntos!G17),'Resol  Asuntos'!D17/NºAsuntos!G17," - ")</f>
        <v>0.1</v>
      </c>
      <c r="E17" s="445">
        <f>IF(ISNUMBER((NºAsuntos!C17+NºAsuntos!E17)/NºAsuntos!G17),(NºAsuntos!C17+NºAsuntos!E17)/NºAsuntos!G17," - ")</f>
        <v>8.3000000000000007</v>
      </c>
      <c r="G17" s="463"/>
    </row>
    <row r="18" spans="1:7" ht="14.25" thickTop="1" thickBot="1">
      <c r="A18" s="848" t="str">
        <f>Datos!A18</f>
        <v>TOTAL</v>
      </c>
      <c r="B18" s="858">
        <f>IF(ISNUMBER(NºAsuntos!G18/NºAsuntos!E18),NºAsuntos!G18/NºAsuntos!E18," - ")</f>
        <v>1.3990825688073394</v>
      </c>
      <c r="C18" s="859">
        <f>IF(ISNUMBER(NºAsuntos!I18/NºAsuntos!G18),NºAsuntos!I18/NºAsuntos!G18," - ")</f>
        <v>1.6852459016393442</v>
      </c>
      <c r="D18" s="862">
        <f>IF(ISNUMBER('Resol  Asuntos'!D18/NºAsuntos!G18),'Resol  Asuntos'!D18/NºAsuntos!G18," - ")</f>
        <v>4.9180327868852458E-2</v>
      </c>
      <c r="E18" s="861">
        <f>IF(ISNUMBER((NºAsuntos!C18+NºAsuntos!E18)/NºAsuntos!G18),(NºAsuntos!C18+NºAsuntos!E18)/NºAsuntos!G18," - ")</f>
        <v>2.7049180327868854</v>
      </c>
      <c r="G18" s="463"/>
    </row>
    <row r="19" spans="1:7" ht="15.75" customHeight="1" thickTop="1" thickBot="1">
      <c r="A19" s="793" t="str">
        <f>Datos!A19</f>
        <v>TOTAL JURISDICCIONES</v>
      </c>
      <c r="B19" s="808">
        <f>IF(ISNUMBER(NºAsuntos!G19/NºAsuntos!E19),NºAsuntos!G19/NºAsuntos!E19," - ")</f>
        <v>1.0445544554455446</v>
      </c>
      <c r="C19" s="809">
        <f>IF(ISNUMBER(NºAsuntos!I19/NºAsuntos!G19),NºAsuntos!I19/NºAsuntos!G19," - ")</f>
        <v>3.6137440758293837</v>
      </c>
      <c r="D19" s="810">
        <f>IF(ISNUMBER('Resol  Asuntos'!D19/NºAsuntos!G19),'Resol  Asuntos'!D19/NºAsuntos!G19," - ")</f>
        <v>0.12322274881516587</v>
      </c>
      <c r="E19" s="811">
        <f>IF(ISNUMBER((NºAsuntos!C19+NºAsuntos!E19)/NºAsuntos!G19),(NºAsuntos!C19+NºAsuntos!E19)/NºAsuntos!G19," - ")</f>
        <v>4.6303317535545023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sjk7/w2QP/1f5PEK8GNKGhXp1yk1LHIHc/mCIWHWch3tIrxCy6X/KQYwM0XCoYgXvE3q3GcxG8KQyyUUgKzsQ==" saltValue="kfhjajknhMxUyuH4ZhaJ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SOLSONA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5</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v>
      </c>
      <c r="AJ12" s="229" t="str">
        <f>IF(ISNUMBER(Datos!BW12),Datos!BW12," - ")</f>
        <v xml:space="preserve"> - </v>
      </c>
      <c r="AK12" s="228" t="str">
        <f>IF(ISNUMBER(Datos!BX12),Datos!BX12," - ")</f>
        <v xml:space="preserve"> - </v>
      </c>
      <c r="AL12" s="243">
        <f>IF(ISNUMBER(NºAsuntos!G12/NºAsuntos!E12),NºAsuntos!G12/NºAsuntos!E12," - ")</f>
        <v>0.6216216216216216</v>
      </c>
      <c r="AM12" s="260">
        <f>IF(ISNUMBER(((NºAsuntos!I12/NºAsuntos!G12)*11)/factor_trimestre),((NºAsuntos!I12/NºAsuntos!G12)*11)/factor_trimestre," - ")</f>
        <v>17.495652173913044</v>
      </c>
      <c r="AN12" s="244">
        <f>IF(ISNUMBER('Resol  Asuntos'!D12/NºAsuntos!G12),'Resol  Asuntos'!D12/NºAsuntos!G12," - ")</f>
        <v>0.30434782608695654</v>
      </c>
      <c r="AO12" s="245">
        <f>IF(ISNUMBER((NºAsuntos!C12+NºAsuntos!E12)/NºAsuntos!G12),(NºAsuntos!C12+NºAsuntos!E12)/NºAsuntos!G12," - ")</f>
        <v>9.7478260869565219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7</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21</v>
      </c>
      <c r="Y13" s="868">
        <f t="shared" si="4"/>
        <v>23</v>
      </c>
      <c r="Z13" s="868">
        <f t="shared" si="4"/>
        <v>0</v>
      </c>
      <c r="AA13" s="868">
        <f t="shared" si="4"/>
        <v>5</v>
      </c>
      <c r="AB13" s="868">
        <f t="shared" si="4"/>
        <v>737</v>
      </c>
      <c r="AC13" s="868">
        <f t="shared" si="4"/>
        <v>5</v>
      </c>
      <c r="AD13" s="868">
        <f t="shared" si="4"/>
        <v>0</v>
      </c>
      <c r="AE13" s="872">
        <f t="shared" si="4"/>
        <v>0</v>
      </c>
      <c r="AF13" s="865">
        <f t="shared" si="4"/>
        <v>0</v>
      </c>
      <c r="AG13" s="873">
        <f t="shared" si="4"/>
        <v>0</v>
      </c>
      <c r="AH13" s="870">
        <f t="shared" si="4"/>
        <v>0</v>
      </c>
      <c r="AI13" s="865">
        <f t="shared" si="4"/>
        <v>37</v>
      </c>
      <c r="AJ13" s="867">
        <f t="shared" si="4"/>
        <v>0</v>
      </c>
      <c r="AK13" s="870">
        <f>SUBTOTAL(9,AK9:AK12)</f>
        <v>0</v>
      </c>
      <c r="AL13" s="874">
        <f>IF(ISNUMBER(NºAsuntos!G13/NºAsuntos!E13),NºAsuntos!G13/NºAsuntos!E13," - ")</f>
        <v>0.62903225806451613</v>
      </c>
      <c r="AM13" s="874">
        <f>IF(ISNUMBER(((NºAsuntos!I13/NºAsuntos!G13)*11)/factor_trimestre),((NºAsuntos!I13/NºAsuntos!G13)*11)/factor_trimestre," - ")</f>
        <v>17.282051282051281</v>
      </c>
      <c r="AN13" s="875">
        <f>IF(ISNUMBER('Resol  Asuntos'!D13/NºAsuntos!G13),'Resol  Asuntos'!D13/NºAsuntos!G13," - ")</f>
        <v>0.31623931623931623</v>
      </c>
      <c r="AO13" s="876">
        <f>IF(ISNUMBER((NºAsuntos!C13+NºAsuntos!E13)/NºAsuntos!G13),(NºAsuntos!C13+NºAsuntos!E13)/NºAsuntos!G13," - ")</f>
        <v>9.649572649572649</v>
      </c>
      <c r="AP13" s="877" t="str">
        <f t="shared" si="2"/>
        <v xml:space="preserve"> - </v>
      </c>
      <c r="AQ13" s="877">
        <f>IF(ISNUMBER((H13-W13+K13)/(F13)),(H13-W13+K13)/(F13)," - ")</f>
        <v>-0.33333333333333331</v>
      </c>
      <c r="AR13" s="878">
        <f>IF(ISNUMBER((Datos!P13-Datos!Q13)/(Datos!R13-Datos!P13+Datos!Q13)),(Datos!P13-Datos!Q13)/(Datos!R13-Datos!P13+Datos!Q13)," - ")</f>
        <v>-2.7063599458728013E-3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535</v>
      </c>
      <c r="G16" s="333">
        <f>IF(ISNUMBER(IF(D_I="SI",Datos!I16,Datos!I16+Datos!AC16)),IF(D_I="SI",Datos!I16,Datos!I16+Datos!AC16)," - ")</f>
        <v>541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295</v>
      </c>
      <c r="X16" s="226">
        <f>IF(ISNUMBER(Datos!Q16),Datos!Q16," - ")</f>
        <v>1</v>
      </c>
      <c r="Y16" s="334">
        <f t="shared" ref="Y16:Y17" si="7">SUM(W16:X16)</f>
        <v>296</v>
      </c>
      <c r="Z16" s="335" t="str">
        <f>IF(ISNUMBER(Datos!CC16),Datos!CC16," - ")</f>
        <v xml:space="preserve"> - </v>
      </c>
      <c r="AA16" s="332">
        <f>IF(ISNUMBER(IF(D_I="SI",Datos!L16,Datos!L16+Datos!AF16)),IF(D_I="SI",Datos!L16,Datos!L16+Datos!AF16)," - ")</f>
        <v>441</v>
      </c>
      <c r="AB16" s="334">
        <f>IF(ISNUMBER(Datos!R16),Datos!R16," - ")</f>
        <v>19</v>
      </c>
      <c r="AC16" s="334">
        <f t="shared" si="6"/>
        <v>460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1.4676616915422886</v>
      </c>
      <c r="AM16" s="260">
        <f>IF(ISNUMBER(((NºAsuntos!I16/NºAsuntos!G16)*11)/factor_trimestre),((NºAsuntos!I16/NºAsuntos!G16)*11)/factor_trimestre," - ")</f>
        <v>2.9898305084745762</v>
      </c>
      <c r="AN16" s="244">
        <f>IF(ISNUMBER('Resol  Asuntos'!D16/NºAsuntos!G16),'Resol  Asuntos'!D16/NºAsuntos!G16," - ")</f>
        <v>4.7457627118644069E-2</v>
      </c>
      <c r="AO16" s="245">
        <f>IF(ISNUMBER((NºAsuntos!C16+NºAsuntos!E16)/NºAsuntos!G16),(NºAsuntos!C16+NºAsuntos!E16)/NºAsuntos!G16," - ")</f>
        <v>2.5152542372881355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73</v>
      </c>
      <c r="AB17" s="334">
        <f>IF(ISNUMBER(Datos!R17),Datos!R17," - ")</f>
        <v>0</v>
      </c>
      <c r="AC17" s="334">
        <f t="shared" si="6"/>
        <v>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0.58823529411764708</v>
      </c>
      <c r="AM17" s="260">
        <f>IF(ISNUMBER(((NºAsuntos!I17/NºAsuntos!G17)*11)/factor_trimestre),((NºAsuntos!I17/NºAsuntos!G17)*11)/factor_trimestre," - ")</f>
        <v>14.6</v>
      </c>
      <c r="AN17" s="244">
        <f>IF(ISNUMBER('Resol  Asuntos'!D17/NºAsuntos!G17),'Resol  Asuntos'!D17/NºAsuntos!G17," - ")</f>
        <v>0.1</v>
      </c>
      <c r="AO17" s="245">
        <f>IF(ISNUMBER((NºAsuntos!C17+NºAsuntos!E17)/NºAsuntos!G17),(NºAsuntos!C17+NºAsuntos!E17)/NºAsuntos!G17," - ")</f>
        <v>8.3000000000000007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535</v>
      </c>
      <c r="G18" s="866">
        <f>SUBTOTAL(9,G15:G17)</f>
        <v>607</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v>
      </c>
      <c r="X18" s="867">
        <f t="shared" si="11"/>
        <v>1</v>
      </c>
      <c r="Y18" s="868">
        <f t="shared" si="11"/>
        <v>306</v>
      </c>
      <c r="Z18" s="868">
        <f t="shared" si="11"/>
        <v>0</v>
      </c>
      <c r="AA18" s="868">
        <f t="shared" si="11"/>
        <v>514</v>
      </c>
      <c r="AB18" s="868">
        <f t="shared" si="11"/>
        <v>19</v>
      </c>
      <c r="AC18" s="868">
        <f t="shared" si="11"/>
        <v>533</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1.3990825688073394</v>
      </c>
      <c r="AM18" s="874">
        <f>IF(ISNUMBER(((NºAsuntos!I18/NºAsuntos!G18)*11)/factor_trimestre),((NºAsuntos!I18/NºAsuntos!G18)*11)/factor_trimestre," - ")</f>
        <v>3.3704918032786888</v>
      </c>
      <c r="AN18" s="875">
        <f>IF(ISNUMBER('Resol  Asuntos'!D18/NºAsuntos!G18),'Resol  Asuntos'!D18/NºAsuntos!G18," - ")</f>
        <v>4.9180327868852458E-2</v>
      </c>
      <c r="AO18" s="876">
        <f>IF(ISNUMBER((NºAsuntos!C18+NºAsuntos!E18)/NºAsuntos!G18),(NºAsuntos!C18+NºAsuntos!E18)/NºAsuntos!G18," - ")</f>
        <v>2.7049180327868854</v>
      </c>
      <c r="AP18" s="877" t="str">
        <f t="shared" si="2"/>
        <v xml:space="preserve"> - </v>
      </c>
      <c r="AQ18" s="877">
        <f>IF(ISNUMBER((H18-W18+K18)/(F18)),(H18-W18+K18)/(F18)," - ")</f>
        <v>-0.57009345794392519</v>
      </c>
      <c r="AR18" s="878">
        <f>IF(ISNUMBER((Datos!P18-Datos!Q18)/(Datos!R18-Datos!P18+Datos!Q18)),(Datos!P18-Datos!Q18)/(Datos!R18-Datos!P18+Datos!Q18)," - ")</f>
        <v>5.5555555555555552E-2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541</v>
      </c>
      <c r="G19" s="821">
        <f t="shared" si="13"/>
        <v>614</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307</v>
      </c>
      <c r="X19" s="821">
        <f t="shared" si="14"/>
        <v>22</v>
      </c>
      <c r="Y19" s="828">
        <f t="shared" si="14"/>
        <v>329</v>
      </c>
      <c r="Z19" s="828">
        <f t="shared" si="14"/>
        <v>0</v>
      </c>
      <c r="AA19" s="828">
        <f t="shared" si="14"/>
        <v>519</v>
      </c>
      <c r="AB19" s="828">
        <f t="shared" si="14"/>
        <v>756</v>
      </c>
      <c r="AC19" s="828">
        <f t="shared" si="14"/>
        <v>538</v>
      </c>
      <c r="AD19" s="828">
        <f t="shared" si="14"/>
        <v>0</v>
      </c>
      <c r="AE19" s="830">
        <f t="shared" si="14"/>
        <v>0</v>
      </c>
      <c r="AF19" s="831">
        <f t="shared" si="14"/>
        <v>0</v>
      </c>
      <c r="AG19" s="832">
        <f t="shared" si="14"/>
        <v>0</v>
      </c>
      <c r="AH19" s="830">
        <f t="shared" si="14"/>
        <v>0</v>
      </c>
      <c r="AI19" s="820">
        <f t="shared" si="14"/>
        <v>52</v>
      </c>
      <c r="AJ19" s="820">
        <f t="shared" si="14"/>
        <v>0</v>
      </c>
      <c r="AK19" s="830">
        <f t="shared" si="14"/>
        <v>0</v>
      </c>
      <c r="AL19" s="884">
        <f>IF(ISNUMBER(NºAsuntos!G19/NºAsuntos!E19),NºAsuntos!G19/NºAsuntos!E19," - ")</f>
        <v>1.0445544554455446</v>
      </c>
      <c r="AM19" s="885">
        <f>IF(ISNUMBER(((NºAsuntos!I19/NºAsuntos!G19)*11)/factor_trimestre),((NºAsuntos!I19/NºAsuntos!G19)*11)/factor_trimestre," - ")</f>
        <v>7.2274881516587675</v>
      </c>
      <c r="AN19" s="885">
        <f>IF(ISNUMBER('Resol  Asuntos'!D19/NºAsuntos!G19),'Resol  Asuntos'!D19/NºAsuntos!G19," - ")</f>
        <v>0.12322274881516587</v>
      </c>
      <c r="AO19" s="886">
        <f>IF(ISNUMBER((NºAsuntos!C19+NºAsuntos!E19)/NºAsuntos!G19),(NºAsuntos!C19+NºAsuntos!E19)/NºAsuntos!G19," - ")</f>
        <v>4.6303317535545023</v>
      </c>
      <c r="AP19" s="887" t="str">
        <f t="shared" si="2"/>
        <v xml:space="preserve"> - </v>
      </c>
      <c r="AQ19" s="888">
        <f>IF(OR(ISNUMBER(FIND("01",Criterios!A8,1)),ISNUMBER(FIND("02",Criterios!A8,1)),ISNUMBER(FIND("03",Criterios!A8,1)),ISNUMBER(FIND("04",Criterios!A8,1))),(I19-W19+K19)/(F19-K19),(H19-W19+K19)/(F19-K19))</f>
        <v>-0.56746765249537889</v>
      </c>
      <c r="AR19" s="889">
        <f>IF(ISNUMBER((Datos!P19-Datos!Q19)/(Datos!R19-Datos!P19+Datos!Q19)),(Datos!P19-Datos!Q19)/(Datos!R19-Datos!P19+Datos!Q19)," - ")</f>
        <v>-1.321003963011889E-3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305.41829240131204</v>
      </c>
      <c r="G21" s="253">
        <f>IF(ISNUMBER(STDEV(G8:G18)),STDEV(G8:G18),"-")</f>
        <v>301.65675858498514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161.83232062848262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15.603418428878546</v>
      </c>
      <c r="AJ21" s="252">
        <f t="shared" si="18"/>
        <v>0</v>
      </c>
      <c r="AK21" s="254">
        <f t="shared" si="18"/>
        <v>0</v>
      </c>
      <c r="AL21" s="249">
        <f t="shared" si="18"/>
        <v>0.59081729263016936</v>
      </c>
      <c r="AM21" s="250">
        <f t="shared" si="18"/>
        <v>7.0480514651647033</v>
      </c>
      <c r="AN21" s="250">
        <f t="shared" si="18"/>
        <v>0.36246967496584137</v>
      </c>
      <c r="AO21" s="251">
        <f t="shared" si="18"/>
        <v>3.4501094575470646</v>
      </c>
      <c r="AP21" s="291" t="str">
        <f t="shared" si="18"/>
        <v>-</v>
      </c>
      <c r="AQ21" s="292">
        <f t="shared" si="18"/>
        <v>0.16741468962672168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r7VxIANVtp/6reGgichnJY7BCMj12sa+lIDltFOImJFPdn0amZXhpcFX2hNobZIWV/3ZComP/I1FFFJClacSg==" saltValue="99cHcT/cONwbj0mj/2G8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SOLSONA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-0.18604651162790697</v>
      </c>
      <c r="I12" s="350">
        <f>IF(ISNUMBER((Tasas!C12-Datos!BE12)/Datos!BE12),(Tasas!C12-Datos!BE12)/Datos!BE12," - ")</f>
        <v>0.87068896321070233</v>
      </c>
      <c r="J12" s="349">
        <f>IF(ISNUMBER((Tasas!D12-Datos!BF12)/Datos!BF12),(Tasas!D12-Datos!BF12)/Datos!BF12," - ")</f>
        <v>-0.34916387959866213</v>
      </c>
      <c r="K12" s="351">
        <f>IF(ISNUMBER((Tasas!E12-Datos!BG12)/Datos!BG12),(Tasas!E12-Datos!BG12)/Datos!BG12," - ")</f>
        <v>0.71729762495178262</v>
      </c>
      <c r="M12" t="e">
        <f>IF(Monitorios="SI",Datos!CE12,0)</f>
        <v>#REF!</v>
      </c>
      <c r="N12" t="e">
        <f>IF(Monitorios="SI",Datos!CF12,0)</f>
        <v>#REF!</v>
      </c>
      <c r="O12" t="e">
        <f>IF(Monitorios="SI",Datos!CG12,0)</f>
        <v>#REF!</v>
      </c>
      <c r="P12" t="e">
        <f>IF(Monitorios="SI",Datos!CH12,0)</f>
        <v>#REF!</v>
      </c>
      <c r="Q12">
        <f>IF(J_V="SI",0,Datos!AG12)</f>
        <v>16</v>
      </c>
      <c r="R12">
        <f>IF(J_V="SI",0,Datos!AH12)</f>
        <v>7</v>
      </c>
      <c r="S12">
        <f>IF(J_V="SI",0,Datos!AI12)</f>
        <v>14</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-0.13953488372093023</v>
      </c>
      <c r="I13" s="357">
        <f>IF(ISNUMBER((Tasas!C13-Datos!BE13)/Datos!BE13),(Tasas!C13-Datos!BE13)/Datos!BE13," - ")</f>
        <v>0.84218184678307362</v>
      </c>
      <c r="J13" s="355">
        <f>IF(ISNUMBER((Tasas!D13-Datos!BF13)/Datos!BF13),(Tasas!D13-Datos!BF13)/Datos!BF13," - ")</f>
        <v>-0.32373438527284681</v>
      </c>
      <c r="K13" s="358">
        <f>IF(ISNUMBER((Tasas!E13-Datos!BG13)/Datos!BG13),(Tasas!E13-Datos!BG13)/Datos!BG13," - ")</f>
        <v>0.69568975763666019</v>
      </c>
      <c r="M13" t="e">
        <f>IF(Monitorios="SI",Datos!CE13,0)</f>
        <v>#REF!</v>
      </c>
      <c r="N13" t="e">
        <f>IF(Monitorios="SI",Datos!CF13,0)</f>
        <v>#REF!</v>
      </c>
      <c r="O13" t="e">
        <f>IF(Monitorios="SI",Datos!CG13,0)</f>
        <v>#REF!</v>
      </c>
      <c r="P13" t="e">
        <f>IF(Monitorios="SI",Datos!CH13,0)</f>
        <v>#REF!</v>
      </c>
      <c r="Q13">
        <f>IF(J_V="SI",0,Datos!AG13)</f>
        <v>16</v>
      </c>
      <c r="R13">
        <f>IF(J_V="SI",0,Datos!AH13)</f>
        <v>7</v>
      </c>
      <c r="S13">
        <f>IF(J_V="SI",0,Datos!AI13)</f>
        <v>14</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0.38717948717948719</v>
      </c>
      <c r="E16" s="348">
        <f>IF(ISNUMBER(
   IF(D_I="SI",(Datos!J16-Datos!T16)/Datos!T16,(Datos!J16+Datos!AD16-(Datos!T16+Datos!AL16))/(Datos!T16+Datos!AL16))
     ),IF(D_I="SI",(Datos!J16-Datos!T16)/Datos!T16,(Datos!J16+Datos!AD16-(Datos!T16+Datos!AL16))/(Datos!T16+Datos!AL16))," - ")</f>
        <v>0.16184971098265896</v>
      </c>
      <c r="F16" s="348">
        <f>IF(ISNUMBER(
   IF(D_I="SI",(Datos!K16-Datos!U16)/Datos!U16,(Datos!K16+Datos!AE16-(Datos!U16+Datos!AM16))/(Datos!U16+Datos!AM16))
     ),IF(D_I="SI",(Datos!K16-Datos!U16)/Datos!U16,(Datos!K16+Datos!AE16-(Datos!U16+Datos!AM16))/(Datos!U16+Datos!AM16))," - ")</f>
        <v>0.9932432432432432</v>
      </c>
      <c r="G16" s="349">
        <f>IF(ISNUMBER(
   IF(D_I="SI",(Datos!L16-Datos!V16)/Datos!V16,(Datos!L16+Datos!AF16-(Datos!V16+Datos!AN16))/(Datos!V16+Datos!AN16))
     ),IF(D_I="SI",(Datos!L16-Datos!V16)/Datos!V16,(Datos!L16+Datos!AF16-(Datos!V16+Datos!AN16))/(Datos!V16+Datos!AN16))," - ")</f>
        <v>6.2650602409638559E-2</v>
      </c>
      <c r="H16" s="230">
        <f>IF(ISNUMBER((Datos!M16-Datos!W16)/Datos!W16),(Datos!M16-Datos!W16)/Datos!W16," - ")</f>
        <v>-0.125</v>
      </c>
      <c r="I16" s="350">
        <f>IF(ISNUMBER((Tasas!C16-Datos!BE16)/Datos!BE16),(Tasas!C16-Datos!BE16)/Datos!BE16," - ")</f>
        <v>-0.46687359607923218</v>
      </c>
      <c r="J16" s="349">
        <f>IF(ISNUMBER((Tasas!D16-Datos!BF16)/Datos!BF16),(Tasas!D16-Datos!BF16)/Datos!BF16," - ")</f>
        <v>-0.56101694915254241</v>
      </c>
      <c r="K16" s="351">
        <f>IF(ISNUMBER((Tasas!E16-Datos!BG16)/Datos!BG16),(Tasas!E16-Datos!BG16)/Datos!BG16," - ")</f>
        <v>-0.33879639943402479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0.13793103448275862</v>
      </c>
      <c r="E17" s="348">
        <f>IF(ISNUMBER(
   IF(D_I="SI",(Datos!J17-Datos!T17)/Datos!T17,(Datos!J17+Datos!AD17-(Datos!T17+Datos!AL17))/(Datos!T17+Datos!AL17))
     ),IF(D_I="SI",(Datos!J17-Datos!T17)/Datos!T17,(Datos!J17+Datos!AD17-(Datos!T17+Datos!AL17))/(Datos!T17+Datos!AL17))," - ")</f>
        <v>-0.51428571428571423</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-0.75</v>
      </c>
      <c r="I17" s="350">
        <f>IF(ISNUMBER((Tasas!C17-Datos!BE17)/Datos!BE17),(Tasas!C17-Datos!BE17)/Datos!BE17," - ")</f>
        <v>1</v>
      </c>
      <c r="J17" s="349">
        <f>IF(ISNUMBER((Tasas!D17-Datos!BF17)/Datos!BF17),(Tasas!D17-Datos!BF17)/Datos!BF17," - ")</f>
        <v>-0.5</v>
      </c>
      <c r="K17" s="351">
        <f>IF(ISNUMBER((Tasas!E17-Datos!BG17)/Datos!BG17),(Tasas!E17-Datos!BG17)/Datos!BG17," - ")</f>
        <v>0.78494623655913975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0.3549107142857143</v>
      </c>
      <c r="E18" s="354">
        <f>IF(ISNUMBER(
   IF(D_I="SI",(Datos!J18-Datos!T18)/Datos!T18,(Datos!J18+Datos!AD18-(Datos!T18+Datos!AL18))/(Datos!T18+Datos!AL18))
     ),IF(D_I="SI",(Datos!J18-Datos!T18)/Datos!T18,(Datos!J18+Datos!AD18-(Datos!T18+Datos!AL18))/(Datos!T18+Datos!AL18))," - ")</f>
        <v>4.807692307692308E-2</v>
      </c>
      <c r="F18" s="354">
        <f>IF(ISNUMBER(
   IF(D_I="SI",(Datos!K18-Datos!U18)/Datos!U18,(Datos!K18+Datos!AE18-(Datos!U18+Datos!AM18))/(Datos!U18+Datos!AM18))
     ),IF(D_I="SI",(Datos!K18-Datos!U18)/Datos!U18,(Datos!K18+Datos!AE18-(Datos!U18+Datos!AM18))/(Datos!U18+Datos!AM18))," - ")</f>
        <v>0.81547619047619047</v>
      </c>
      <c r="G18" s="355">
        <f>IF(ISNUMBER(
   IF(D_I="SI",(Datos!L18-Datos!V18)/Datos!V18,(Datos!L18+Datos!AF18-(Datos!V18+Datos!AN18))/(Datos!V18+Datos!AN18))
     ),IF(D_I="SI",(Datos!L18-Datos!V18)/Datos!V18,(Datos!L18+Datos!AF18-(Datos!V18+Datos!AN18))/(Datos!V18+Datos!AN18))," - ")</f>
        <v>5.3278688524590161E-2</v>
      </c>
      <c r="H18" s="356">
        <f>IF(ISNUMBER((Datos!M18-Datos!W18)/Datos!W18),(Datos!M18-Datos!W18)/Datos!W18," - ")</f>
        <v>-0.25</v>
      </c>
      <c r="I18" s="357">
        <f>IF(ISNUMBER((Tasas!C18-Datos!BE18)/Datos!BE18),(Tasas!C18-Datos!BE18)/Datos!BE18," - ")</f>
        <v>-0.41983337812416016</v>
      </c>
      <c r="J18" s="355">
        <f>IF(ISNUMBER((Tasas!D18-Datos!BF18)/Datos!BF18),(Tasas!D18-Datos!BF18)/Datos!BF18," - ")</f>
        <v>-0.58688524590163937</v>
      </c>
      <c r="K18" s="358">
        <f>IF(ISNUMBER((Tasas!E18-Datos!BG18)/Datos!BG18),(Tasas!E18-Datos!BG18)/Datos!BG18," - ")</f>
        <v>-0.30727708916433422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0.39765554553651938</v>
      </c>
      <c r="E19" s="363">
        <f>IF(ISNUMBER(
   IF(J_V="SI",(Datos!J19-Datos!T19)/Datos!T19,(Datos!J19+Datos!Z19-(Datos!T19+Datos!AH19))/(Datos!T19+Datos!AH19))
     ),IF(J_V="SI",(Datos!J19-Datos!T19)/Datos!T19,(Datos!J19+Datos!Z19-(Datos!T19+Datos!AH19))/(Datos!T19+Datos!AH19))," - ")</f>
        <v>0.19526627218934911</v>
      </c>
      <c r="F19" s="363">
        <f>IF(ISNUMBER(
   IF(J_V="SI",(Datos!K19-Datos!U19)/Datos!U19,(Datos!K19+Datos!AA19-(Datos!U19+Datos!AI19))/(Datos!U19+Datos!AI19))
     ),IF(J_V="SI",(Datos!K19-Datos!U19)/Datos!U19,(Datos!K19+Datos!AA19-(Datos!U19+Datos!AI19))/(Datos!U19+Datos!AI19))," - ")</f>
        <v>0.3745928338762215</v>
      </c>
      <c r="G19" s="364">
        <f>IF(ISNUMBER(
   IF(J_V="SI",(Datos!L19-Datos!V19)/Datos!V19,(Datos!L19+Datos!AB19-(Datos!V19+Datos!AJ19))/(Datos!V19+Datos!AJ19))
     ),IF(J_V="SI",(Datos!L19-Datos!V19)/Datos!V19,(Datos!L19+Datos!AB19-(Datos!V19+Datos!AJ19))/(Datos!V19+Datos!AJ19))," - ")</f>
        <v>0.33771929824561403</v>
      </c>
      <c r="H19" s="365">
        <f>IF(ISNUMBER((Datos!M19-Datos!W19)/Datos!W19),(Datos!M19-Datos!W19)/Datos!W19," - ")</f>
        <v>-0.17460317460317459</v>
      </c>
      <c r="I19" s="362">
        <f>IF(ISNUMBER((Tasas!C19-Datos!BE19)/Datos!BE19),(Tasas!C19-Datos!BE19)/Datos!BE19," - ")</f>
        <v>-2.682506028103435E-2</v>
      </c>
      <c r="J19" s="363">
        <f>IF(ISNUMBER((Tasas!D19-Datos!BF19)/Datos!BF19),(Tasas!D19-Datos!BF19)/Datos!BF19," - ")</f>
        <v>-0.55494842486757745</v>
      </c>
      <c r="K19" s="364">
        <f>IF(ISNUMBER((Tasas!E19-Datos!BG19)/Datos!BG19),(Tasas!E19-Datos!BG19)/Datos!BG19," - ")</f>
        <v>-1.7614479377171904E-2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1.1088670872886519</v>
      </c>
      <c r="E21" s="278">
        <f t="shared" si="1"/>
        <v>0.36202097003538081</v>
      </c>
      <c r="F21" s="278">
        <f t="shared" si="1"/>
        <v>0.81566477144421234</v>
      </c>
      <c r="G21" s="279">
        <f t="shared" si="1"/>
        <v>0.7311992086767215</v>
      </c>
      <c r="H21" s="285">
        <f t="shared" si="1"/>
        <v>0.2616634342803224</v>
      </c>
      <c r="I21" s="277">
        <f t="shared" si="1"/>
        <v>0.74071345383711729</v>
      </c>
      <c r="J21" s="278">
        <f t="shared" si="1"/>
        <v>0.12111019895076097</v>
      </c>
      <c r="K21" s="279">
        <f t="shared" si="1"/>
        <v>0.57926439403080332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ZHxWy33sIRmVE4Myhr/mC+suAYIah0cQy01jlSfS/q6J1Bmffsck+qRdemaT/jiy0Y+BSbXUcwa7f67mZ7d6w==" saltValue="8sY8sUI/FZTXvlgp3JWE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7</v>
      </c>
      <c r="E10" s="226">
        <f>IF(ISNUMBER(Datos!J10),Datos!J10," - ")</f>
        <v>1</v>
      </c>
      <c r="F10" s="226">
        <f>IF(ISNUMBER(Datos!K10),Datos!K10," - ")</f>
        <v>2</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96.22608695652174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7</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535</v>
      </c>
      <c r="D16" s="225">
        <f>IF(ISNUMBER(IF(D_I="SI",Datos!I16,Datos!I16+Datos!AC16)),IF(D_I="SI",Datos!I16,Datos!I16+Datos!AC16)," - ")</f>
        <v>541</v>
      </c>
      <c r="E16" s="226">
        <f>IF(ISNUMBER(IF(D_I="SI",Datos!J16,Datos!J16+Datos!AD16)),IF(D_I="SI",Datos!J16,Datos!J16+Datos!AD16)," - ")</f>
        <v>201</v>
      </c>
      <c r="F16" s="226">
        <f>IF(ISNUMBER(IF(D_I="SI",Datos!K16,Datos!K16+Datos!AE16)),IF(D_I="SI",Datos!K16,Datos!K16+Datos!AE16)," - ")</f>
        <v>295</v>
      </c>
      <c r="G16" s="1034" t="str">
        <f>IF(Datos!E16&lt;&gt;"",Datos!E16,Datos!D16)</f>
        <v>04</v>
      </c>
      <c r="H16" s="227">
        <f>IF(ISNUMBER(IF(D_I="SI",Datos!L16,Datos!L16+Datos!AF16)),IF(D_I="SI",Datos!L16,Datos!L16+Datos!AF16)," - ")</f>
        <v>441</v>
      </c>
      <c r="I16" s="1044" t="str">
        <f>IF(ISNUMBER(Datos!AS16/Datos!BM16),Datos!AS16/Datos!BM16," - ")</f>
        <v xml:space="preserve"> - </v>
      </c>
      <c r="J16" s="1045">
        <f>IF(ISNUMBER(Datos!BY16/Datos!CN16),Datos!BY16/Datos!CN16," - ")</f>
        <v>0</v>
      </c>
      <c r="K16" s="230">
        <f t="shared" si="3"/>
        <v>-0.17570093457943925</v>
      </c>
      <c r="L16" s="1025">
        <f>IF(ISNUMBER(NºAsuntos!I16/NºAsuntos!G16),(NºAsuntos!I16/NºAsuntos!G16)*11," - ")</f>
        <v>16.44406779661017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v>
      </c>
      <c r="D17" s="225">
        <f>IF(ISNUMBER(IF(D_I="SI",Datos!I17,Datos!I17+Datos!AC17)),IF(D_I="SI",Datos!I17,Datos!I17+Datos!AC17)," - ")</f>
        <v>66</v>
      </c>
      <c r="E17" s="226">
        <f>IF(ISNUMBER(IF(D_I="SI",Datos!J17,Datos!J17+Datos!AD17)),IF(D_I="SI",Datos!J17,Datos!J17+Datos!AD17)," - ")</f>
        <v>17</v>
      </c>
      <c r="F17" s="226">
        <f>IF(ISNUMBER(IF(D_I="SI",Datos!K17,Datos!K17+Datos!AE17)),IF(D_I="SI",Datos!K17,Datos!K17+Datos!AE17)," - ")</f>
        <v>10</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0.10606060606060606</v>
      </c>
      <c r="L17" s="1025">
        <f>IF(ISNUMBER(NºAsuntos!I17/NºAsuntos!G17),(NºAsuntos!I17/NºAsuntos!G17)*11," - ")</f>
        <v>80.3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601</v>
      </c>
      <c r="D18" s="1049">
        <f>SUBTOTAL(9,D15:D17)</f>
        <v>607</v>
      </c>
      <c r="E18" s="1050">
        <f>SUBTOTAL(9,E15:E17)</f>
        <v>218</v>
      </c>
      <c r="F18" s="1050">
        <f>SUBTOTAL(9,F15:F17)</f>
        <v>305</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607</v>
      </c>
      <c r="D19" s="1071">
        <f>SUBTOTAL(9,D9:D18)</f>
        <v>614</v>
      </c>
      <c r="E19" s="1072">
        <f>SUBTOTAL(9,E9:E18)</f>
        <v>219</v>
      </c>
      <c r="F19" s="1072">
        <f>SUBTOTAL(9,F9:F18)</f>
        <v>307</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FtVy7fMG6+MXPrHm4nLpyjK+dXSIAEyJoEQzMEsedcYJnEw9u/I3pp/OZbYitxU82MKkpBFPpjr9ykcD6A+8w==" saltValue="ADMQq4psX0BiTtrWZDHO1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aojxkbNlV+HwVo6oimGrub3JIaQqSnRCclcAC+C4La0H8ztkE2QqTFJpGSOlhrXeTBTp5q1gkrhfTk5uU5Uwg==" saltValue="nNtohjD7SBVH3Nxq8b0B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v>
      </c>
      <c r="K10" s="181">
        <v>2</v>
      </c>
      <c r="L10" s="181">
        <v>5</v>
      </c>
      <c r="M10" s="181">
        <v>2</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917</v>
      </c>
      <c r="J12" s="183">
        <v>183</v>
      </c>
      <c r="K12" s="183">
        <v>112</v>
      </c>
      <c r="L12" s="183">
        <v>988</v>
      </c>
      <c r="M12" s="183">
        <v>35</v>
      </c>
      <c r="N12" s="183">
        <v>41</v>
      </c>
      <c r="O12" s="181">
        <v>56</v>
      </c>
      <c r="P12" s="183">
        <v>19</v>
      </c>
      <c r="Q12" s="183">
        <v>21</v>
      </c>
      <c r="R12" s="183">
        <v>737</v>
      </c>
      <c r="S12" s="183">
        <v>643</v>
      </c>
      <c r="T12" s="183">
        <v>123</v>
      </c>
      <c r="U12" s="183">
        <v>125</v>
      </c>
      <c r="V12" s="183">
        <v>641</v>
      </c>
      <c r="W12" s="183">
        <v>43</v>
      </c>
      <c r="X12" s="189">
        <v>65</v>
      </c>
      <c r="Y12" s="191">
        <v>19</v>
      </c>
      <c r="Z12" s="181">
        <v>2</v>
      </c>
      <c r="AA12" s="181">
        <v>3</v>
      </c>
      <c r="AB12" s="181">
        <v>18</v>
      </c>
      <c r="AC12" s="183">
        <v>0</v>
      </c>
      <c r="AD12" s="183">
        <v>0</v>
      </c>
      <c r="AE12" s="183">
        <v>0</v>
      </c>
      <c r="AF12" s="189">
        <v>0</v>
      </c>
      <c r="AG12" s="202">
        <v>16</v>
      </c>
      <c r="AH12" s="183">
        <v>7</v>
      </c>
      <c r="AI12" s="183">
        <v>14</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659</v>
      </c>
      <c r="AZ12" s="127">
        <f t="shared" si="1"/>
        <v>130</v>
      </c>
      <c r="BA12" s="127">
        <f t="shared" si="1"/>
        <v>139</v>
      </c>
      <c r="BB12" s="127">
        <f t="shared" si="1"/>
        <v>650</v>
      </c>
      <c r="BC12" s="125">
        <f>IF(ISNUMBER(X12),X12," - ")</f>
        <v>65</v>
      </c>
      <c r="BD12" s="126">
        <f t="shared" si="2"/>
        <v>1.0692307692307692</v>
      </c>
      <c r="BE12" s="127">
        <f t="shared" si="3"/>
        <v>4.6762589928057556</v>
      </c>
      <c r="BF12" s="127">
        <f t="shared" si="4"/>
        <v>0.46762589928057552</v>
      </c>
      <c r="BG12" s="196">
        <f t="shared" si="5"/>
        <v>5.6762589928057556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924</v>
      </c>
      <c r="J13" s="184">
        <f t="shared" si="6"/>
        <v>184</v>
      </c>
      <c r="K13" s="184">
        <f t="shared" si="6"/>
        <v>114</v>
      </c>
      <c r="L13" s="184">
        <f t="shared" si="6"/>
        <v>993</v>
      </c>
      <c r="M13" s="184">
        <f t="shared" si="6"/>
        <v>37</v>
      </c>
      <c r="N13" s="184">
        <f t="shared" si="6"/>
        <v>41</v>
      </c>
      <c r="O13" s="184">
        <f t="shared" si="6"/>
        <v>56</v>
      </c>
      <c r="P13" s="184">
        <f t="shared" si="6"/>
        <v>19</v>
      </c>
      <c r="Q13" s="184">
        <f t="shared" si="6"/>
        <v>21</v>
      </c>
      <c r="R13" s="184">
        <f t="shared" si="6"/>
        <v>737</v>
      </c>
      <c r="S13" s="184">
        <f t="shared" si="6"/>
        <v>645</v>
      </c>
      <c r="T13" s="184">
        <f t="shared" si="6"/>
        <v>123</v>
      </c>
      <c r="U13" s="184">
        <f t="shared" si="6"/>
        <v>125</v>
      </c>
      <c r="V13" s="184">
        <f t="shared" si="6"/>
        <v>643</v>
      </c>
      <c r="W13" s="184">
        <f t="shared" si="6"/>
        <v>43</v>
      </c>
      <c r="X13" s="184">
        <f t="shared" si="6"/>
        <v>65</v>
      </c>
      <c r="Y13" s="184">
        <f t="shared" si="6"/>
        <v>19</v>
      </c>
      <c r="Z13" s="184">
        <f t="shared" si="6"/>
        <v>2</v>
      </c>
      <c r="AA13" s="184">
        <f t="shared" si="6"/>
        <v>3</v>
      </c>
      <c r="AB13" s="184">
        <f t="shared" si="6"/>
        <v>18</v>
      </c>
      <c r="AC13" s="184">
        <f t="shared" si="6"/>
        <v>0</v>
      </c>
      <c r="AD13" s="184">
        <f t="shared" si="6"/>
        <v>0</v>
      </c>
      <c r="AE13" s="184">
        <f t="shared" si="6"/>
        <v>0</v>
      </c>
      <c r="AF13" s="184">
        <f>SUBTOTAL(9,AF9:AF12)</f>
        <v>0</v>
      </c>
      <c r="AG13" s="184">
        <f t="shared" ref="AG13:AT13" si="7">SUBTOTAL(9,AG8:AG12)</f>
        <v>16</v>
      </c>
      <c r="AH13" s="184">
        <f t="shared" si="7"/>
        <v>7</v>
      </c>
      <c r="AI13" s="184">
        <f t="shared" si="7"/>
        <v>14</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661</v>
      </c>
      <c r="AZ13" s="184">
        <f>SUBTOTAL(9,AZ8:AZ12)</f>
        <v>130</v>
      </c>
      <c r="BA13" s="184">
        <f>SUBTOTAL(9,BA8:BA12)</f>
        <v>139</v>
      </c>
      <c r="BB13" s="184">
        <f>SUBTOTAL(9,BB8:BB12)</f>
        <v>652</v>
      </c>
      <c r="BC13" s="184">
        <f>SUBTOTAL(9,BC8:BC12)</f>
        <v>65</v>
      </c>
      <c r="BD13" s="205">
        <f>IF(ISNUMBER(BA13/AZ13),BA13/AZ13," - ")</f>
        <v>1.0692307692307692</v>
      </c>
      <c r="BE13" s="206">
        <f>IF(ISNUMBER(BB13/BA13),BB13/BA13, " - ")</f>
        <v>4.6906474820143886</v>
      </c>
      <c r="BF13" s="206">
        <f>IF(ISNUMBER(BC13/BA13),BC13/BA13, " - ")</f>
        <v>0.46762589928057552</v>
      </c>
      <c r="BG13" s="207">
        <f>IF(ISNUMBER((AY13+AZ13)/BA13),(AY13+AZ13)/BA13," - ")</f>
        <v>5.6906474820143886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541</v>
      </c>
      <c r="J16" s="183">
        <v>201</v>
      </c>
      <c r="K16" s="183">
        <v>295</v>
      </c>
      <c r="L16" s="183">
        <v>441</v>
      </c>
      <c r="M16" s="183">
        <v>14</v>
      </c>
      <c r="N16" s="183">
        <v>257</v>
      </c>
      <c r="O16" s="181">
        <v>1</v>
      </c>
      <c r="P16" s="183">
        <v>2</v>
      </c>
      <c r="Q16" s="183">
        <v>1</v>
      </c>
      <c r="R16" s="183">
        <v>19</v>
      </c>
      <c r="S16" s="183">
        <v>390</v>
      </c>
      <c r="T16" s="183">
        <v>173</v>
      </c>
      <c r="U16" s="183">
        <v>148</v>
      </c>
      <c r="V16" s="183">
        <v>415</v>
      </c>
      <c r="W16" s="183">
        <v>16</v>
      </c>
      <c r="X16" s="189">
        <v>115</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390</v>
      </c>
      <c r="AZ16" s="127">
        <f t="shared" si="9"/>
        <v>173</v>
      </c>
      <c r="BA16" s="127">
        <f t="shared" si="9"/>
        <v>148</v>
      </c>
      <c r="BB16" s="127">
        <f t="shared" si="9"/>
        <v>415</v>
      </c>
      <c r="BC16" s="125">
        <f>IF(ISNUMBER(W16),W16," - ")</f>
        <v>16</v>
      </c>
      <c r="BD16" s="126">
        <f t="shared" ref="BD16" si="11">IF(ISNUMBER(BA16/AZ16),BA16/AZ16," - ")</f>
        <v>0.8554913294797688</v>
      </c>
      <c r="BE16" s="127">
        <f t="shared" ref="BE16" si="12">IF(ISNUMBER(BB16/BA16),BB16/BA16, " - ")</f>
        <v>2.8040540540540539</v>
      </c>
      <c r="BF16" s="127">
        <f t="shared" ref="BF16" si="13">IF(ISNUMBER(BC16/BA16),BC16/BA16, " - ")</f>
        <v>0.10810810810810811</v>
      </c>
      <c r="BG16" s="196">
        <f t="shared" si="10"/>
        <v>3.8040540540540539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17</v>
      </c>
      <c r="K17" s="183">
        <v>10</v>
      </c>
      <c r="L17" s="183">
        <v>73</v>
      </c>
      <c r="M17" s="183">
        <v>1</v>
      </c>
      <c r="N17" s="183">
        <v>12</v>
      </c>
      <c r="O17" s="183">
        <v>0</v>
      </c>
      <c r="P17" s="183">
        <v>0</v>
      </c>
      <c r="Q17" s="183">
        <v>0</v>
      </c>
      <c r="R17" s="183">
        <v>0</v>
      </c>
      <c r="S17" s="183">
        <v>58</v>
      </c>
      <c r="T17" s="183">
        <v>35</v>
      </c>
      <c r="U17" s="183">
        <v>20</v>
      </c>
      <c r="V17" s="183">
        <v>73</v>
      </c>
      <c r="W17" s="183">
        <v>4</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58</v>
      </c>
      <c r="AZ17" s="129">
        <f t="shared" si="14"/>
        <v>35</v>
      </c>
      <c r="BA17" s="129">
        <f t="shared" si="14"/>
        <v>20</v>
      </c>
      <c r="BB17" s="129">
        <f t="shared" si="14"/>
        <v>73</v>
      </c>
      <c r="BC17" s="125">
        <f>IF(ISNUMBER(W17),W17," - ")</f>
        <v>4</v>
      </c>
      <c r="BD17" s="126">
        <f>IF(ISNUMBER(BA17/AZ17),BA17/AZ17," - ")</f>
        <v>0.5714285714285714</v>
      </c>
      <c r="BE17" s="127">
        <f>IF(ISNUMBER(BB17/BA17),BB17/BA17, " - ")</f>
        <v>3.65</v>
      </c>
      <c r="BF17" s="127">
        <f>IF(ISNUMBER(BC17/BA17),BC17/BA17, " - ")</f>
        <v>0.2</v>
      </c>
      <c r="BG17" s="196">
        <f>IF(ISNUMBER((AY17+AZ17)/BA17),(AY17+AZ17)/BA17," - ")</f>
        <v>4.6500000000000004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607</v>
      </c>
      <c r="J18" s="184">
        <f t="shared" si="15"/>
        <v>218</v>
      </c>
      <c r="K18" s="184">
        <f t="shared" si="15"/>
        <v>305</v>
      </c>
      <c r="L18" s="184">
        <f t="shared" si="15"/>
        <v>514</v>
      </c>
      <c r="M18" s="184">
        <f t="shared" si="15"/>
        <v>15</v>
      </c>
      <c r="N18" s="184">
        <f t="shared" si="15"/>
        <v>269</v>
      </c>
      <c r="O18" s="184">
        <f t="shared" si="15"/>
        <v>1</v>
      </c>
      <c r="P18" s="184">
        <f t="shared" si="15"/>
        <v>2</v>
      </c>
      <c r="Q18" s="184">
        <f t="shared" si="15"/>
        <v>1</v>
      </c>
      <c r="R18" s="184">
        <f t="shared" si="15"/>
        <v>19</v>
      </c>
      <c r="S18" s="184">
        <f t="shared" si="15"/>
        <v>448</v>
      </c>
      <c r="T18" s="184">
        <f t="shared" si="15"/>
        <v>208</v>
      </c>
      <c r="U18" s="184">
        <f t="shared" si="15"/>
        <v>168</v>
      </c>
      <c r="V18" s="184">
        <f t="shared" si="15"/>
        <v>488</v>
      </c>
      <c r="W18" s="184">
        <f t="shared" si="15"/>
        <v>20</v>
      </c>
      <c r="X18" s="184">
        <f t="shared" si="15"/>
        <v>123</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448</v>
      </c>
      <c r="AZ18" s="184">
        <f>SUBTOTAL(9,AZ14:AZ17)</f>
        <v>208</v>
      </c>
      <c r="BA18" s="184">
        <f>SUBTOTAL(9,BA14:BA17)</f>
        <v>168</v>
      </c>
      <c r="BB18" s="184">
        <f>SUBTOTAL(9,BB14:BB17)</f>
        <v>488</v>
      </c>
      <c r="BC18" s="184">
        <f>SUBTOTAL(9,BC14:BC17)</f>
        <v>20</v>
      </c>
      <c r="BD18" s="205">
        <f>IF(ISNUMBER(BA18/AZ18),BA18/AZ18," - ")</f>
        <v>0.80769230769230771</v>
      </c>
      <c r="BE18" s="206">
        <f>IF(ISNUMBER(BB18/BA18),BB18/BA18, " - ")</f>
        <v>2.9047619047619047</v>
      </c>
      <c r="BF18" s="206">
        <f>IF(ISNUMBER(BC18/BA18),BC18/BA18, " - ")</f>
        <v>0.11904761904761904</v>
      </c>
      <c r="BG18" s="207">
        <f>IF(ISNUMBER((AY18+AZ18)/BA18),(AY18+AZ18)/BA18," - ")</f>
        <v>3.9047619047619047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1531</v>
      </c>
      <c r="J19" s="134">
        <f t="shared" si="18"/>
        <v>402</v>
      </c>
      <c r="K19" s="134">
        <f t="shared" si="18"/>
        <v>419</v>
      </c>
      <c r="L19" s="134">
        <f t="shared" si="18"/>
        <v>1507</v>
      </c>
      <c r="M19" s="134">
        <f t="shared" si="18"/>
        <v>52</v>
      </c>
      <c r="N19" s="134">
        <f t="shared" si="18"/>
        <v>310</v>
      </c>
      <c r="O19" s="134">
        <f t="shared" si="18"/>
        <v>57</v>
      </c>
      <c r="P19" s="134">
        <f t="shared" si="18"/>
        <v>21</v>
      </c>
      <c r="Q19" s="134">
        <f t="shared" si="18"/>
        <v>22</v>
      </c>
      <c r="R19" s="134">
        <f t="shared" si="18"/>
        <v>756</v>
      </c>
      <c r="S19" s="134">
        <f t="shared" si="18"/>
        <v>1093</v>
      </c>
      <c r="T19" s="134">
        <f t="shared" si="18"/>
        <v>331</v>
      </c>
      <c r="U19" s="134">
        <f t="shared" si="18"/>
        <v>293</v>
      </c>
      <c r="V19" s="134">
        <f t="shared" si="18"/>
        <v>1131</v>
      </c>
      <c r="W19" s="134">
        <f t="shared" si="18"/>
        <v>63</v>
      </c>
      <c r="X19" s="134">
        <f t="shared" si="18"/>
        <v>188</v>
      </c>
      <c r="Y19" s="134">
        <f t="shared" si="18"/>
        <v>19</v>
      </c>
      <c r="Z19" s="134">
        <f t="shared" si="18"/>
        <v>2</v>
      </c>
      <c r="AA19" s="134">
        <f t="shared" si="18"/>
        <v>3</v>
      </c>
      <c r="AB19" s="134">
        <f t="shared" si="18"/>
        <v>18</v>
      </c>
      <c r="AC19" s="134">
        <f t="shared" si="18"/>
        <v>1</v>
      </c>
      <c r="AD19" s="134">
        <f t="shared" si="18"/>
        <v>0</v>
      </c>
      <c r="AE19" s="134">
        <f t="shared" si="18"/>
        <v>1</v>
      </c>
      <c r="AF19" s="134">
        <f t="shared" si="18"/>
        <v>0</v>
      </c>
      <c r="AG19" s="134">
        <f t="shared" si="18"/>
        <v>16</v>
      </c>
      <c r="AH19" s="134">
        <f t="shared" si="18"/>
        <v>7</v>
      </c>
      <c r="AI19" s="134">
        <f t="shared" si="18"/>
        <v>14</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1109</v>
      </c>
      <c r="AZ19" s="134">
        <f>SUBTOTAL(9,AZ9:AZ18)</f>
        <v>338</v>
      </c>
      <c r="BA19" s="134">
        <f>SUBTOTAL(9,BA9:BA18)</f>
        <v>307</v>
      </c>
      <c r="BB19" s="134">
        <f>SUBTOTAL(9,BB9:BB18)</f>
        <v>1140</v>
      </c>
      <c r="BC19" s="135">
        <f>SUBTOTAL(9,BC9:BC18)</f>
        <v>85</v>
      </c>
      <c r="BD19" s="213">
        <f>IF(ISNUMBER(BA19/AZ19),BA19/AZ19," - ")</f>
        <v>0.90828402366863903</v>
      </c>
      <c r="BE19" s="210">
        <f>IF(ISNUMBER(BB19/BA19),BB19/BA19, " - ")</f>
        <v>3.7133550488599347</v>
      </c>
      <c r="BF19" s="210">
        <f>IF(ISNUMBER(BC19/BA19),BC19/BA19, " - ")</f>
        <v>0.27687296416938112</v>
      </c>
      <c r="BG19" s="135">
        <f>IF(ISNUMBER((AY19+AZ19)/BA19),(AY19+AZ19)/BA19," - ")</f>
        <v>4.7133550488599347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8JZ1Ch/9FUUnWSjmHAH6aOImhJnMf/btyCA2qYHmF4No26XsEYp8OYYkDxUuAVphUXrAfGhmlEMuBkxPQJK+w==" saltValue="gZULfYrXUeX/38i23ecE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R2nZCP7e4NKyu6pdxBM23O4RqiHSP5i90WX8IVCbY210WpMykWTuFI49/Q120HyuE/XfwtnyyIw1zyx7Nj0Ww==" saltValue="6NJRVoLm9iZp3NM/qTXs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737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0.6216216216216216</v>
      </c>
      <c r="BH12" s="260">
        <f>IF(ISNUMBER(((IF(J_V="SI",Datos!L12/Datos!K12,(Datos!L12+Datos!AB12)/(Datos!K12+Datos!AA12)))*11)/factor_trimestre),((IF(J_V="SI",Datos!L12/Datos!K12,(Datos!L12+Datos!AB12)/(Datos!K12+Datos!AA12)))*11)/factor_trimestre," - ")</f>
        <v>17.495652173913044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-2.7063599458728013E-3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6</v>
      </c>
      <c r="G13" s="898">
        <f t="shared" si="0"/>
        <v>7</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21</v>
      </c>
      <c r="AD13" s="899">
        <f t="shared" si="1"/>
        <v>0</v>
      </c>
      <c r="AE13" s="899">
        <f t="shared" si="1"/>
        <v>0</v>
      </c>
      <c r="AF13" s="899">
        <f t="shared" si="1"/>
        <v>5</v>
      </c>
      <c r="AG13" s="899">
        <f t="shared" si="1"/>
        <v>0</v>
      </c>
      <c r="AH13" s="899">
        <f t="shared" si="1"/>
        <v>18</v>
      </c>
      <c r="AI13" s="899">
        <f t="shared" si="1"/>
        <v>0</v>
      </c>
      <c r="AJ13" s="899">
        <f t="shared" si="1"/>
        <v>0</v>
      </c>
      <c r="AK13" s="899">
        <f t="shared" si="1"/>
        <v>0</v>
      </c>
      <c r="AL13" s="899">
        <f t="shared" si="1"/>
        <v>0</v>
      </c>
      <c r="AM13" s="899">
        <f t="shared" si="1"/>
        <v>737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v>
      </c>
      <c r="BD13" s="899">
        <f t="shared" si="1"/>
        <v>41</v>
      </c>
      <c r="BE13" s="899">
        <f t="shared" si="1"/>
        <v>0</v>
      </c>
      <c r="BF13" s="899">
        <f t="shared" si="1"/>
        <v>0</v>
      </c>
      <c r="BG13" s="899">
        <f>IF(ISNUMBER(Datos!K13/Datos!J13),Datos!K13/Datos!J13," - ")</f>
        <v>0.61956521739130432</v>
      </c>
      <c r="BH13" s="903">
        <f>IF(ISNUMBER(((Datos!L13/Datos!K13)*11)/factor_trimestre),((Datos!L13/Datos!K13)*11)/factor_trimestre," - ")</f>
        <v>17.421052631578949</v>
      </c>
      <c r="BI13" s="899">
        <f>IF(ISNUMBER('Resol  Asuntos'!D13/NºAsuntos!G13),'Resol  Asuntos'!D13/NºAsuntos!G13," - ")</f>
        <v>0.31623931623931623</v>
      </c>
      <c r="BJ13" s="899" t="str">
        <f>IF(ISNUMBER(Datos!CI13/Datos!CJ13),Datos!CI13/Datos!CJ13," - ")</f>
        <v xml:space="preserve"> - </v>
      </c>
      <c r="BK13" s="899">
        <f>SUBTOTAL(9,BK8:BK12)</f>
        <v>0</v>
      </c>
      <c r="BL13" s="899">
        <f>IF(ISNUMBER((I13-AB13+L13)/(F13)),(I13-AB13+L13)/(F13)," - ")</f>
        <v>-0.33333333333333331</v>
      </c>
      <c r="BM13" s="904">
        <f>SUBTOTAL(9,BM9:BM12)</f>
        <v>-2.7063599458728013E-3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535</v>
      </c>
      <c r="G16" s="598">
        <f>IF(ISNUMBER(IF(D_I="SI",Datos!I16,Datos!I16+Datos!AC16)),IF(D_I="SI",Datos!I16,Datos!I16+Datos!AC16)," - ")</f>
        <v>541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295</v>
      </c>
      <c r="AC16" s="226">
        <f>IF(ISNUMBER(Datos!Q16),Datos!Q16," - ")</f>
        <v>1</v>
      </c>
      <c r="AD16" s="334"/>
      <c r="AE16" s="484"/>
      <c r="AF16" s="596">
        <f>IF(ISNUMBER(IF(D_I="SI",Datos!L16,Datos!L16+Datos!AF16)),IF(D_I="SI",Datos!L16,Datos!L16+Datos!AF16)," - ")</f>
        <v>441</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257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1.4676616915422886</v>
      </c>
      <c r="BH16" s="260">
        <f>IF(ISNUMBER(((IF(D_I="SI",Datos!L16/Datos!K16,(Datos!L16+Datos!AF16)/(Datos!K16+Datos!AE16)))*11)/factor_trimestre),((IF(D_I="SI",Datos!L16/Datos!K16,(Datos!L16+Datos!AF16)/(Datos!K16+Datos!AE16)))*11)/factor_trimestre," - ")</f>
        <v>2.9898305084745762</v>
      </c>
      <c r="BI16" s="243">
        <f>IF(ISNUMBER('Resol  Asuntos'!D16/NºAsuntos!G16),'Resol  Asuntos'!D16/NºAsuntos!G16," - ")</f>
        <v>4.7457627118644069E-2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73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0.58823529411764708</v>
      </c>
      <c r="BH17" s="260">
        <f>IF(ISNUMBER(((IF(D_I="SI",Datos!L17/Datos!K17,(Datos!L17+Datos!AF17)/(Datos!K17+Datos!AE17)))*11)/factor_trimestre),((IF(D_I="SI",Datos!L17/Datos!K17,(Datos!L17+Datos!AF17)/(Datos!K17+Datos!AE17)))*11)/factor_trimestre," - ")</f>
        <v>14.6</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535</v>
      </c>
      <c r="G18" s="898">
        <f>SUBTOTAL(9,G15:G17)</f>
        <v>607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v>
      </c>
      <c r="AC18" s="899">
        <f t="shared" si="4"/>
        <v>1</v>
      </c>
      <c r="AD18" s="899">
        <f t="shared" si="4"/>
        <v>0</v>
      </c>
      <c r="AE18" s="899">
        <f t="shared" si="4"/>
        <v>0</v>
      </c>
      <c r="AF18" s="899">
        <f t="shared" si="4"/>
        <v>514</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269</v>
      </c>
      <c r="BE18" s="899">
        <f t="shared" si="4"/>
        <v>0</v>
      </c>
      <c r="BF18" s="899">
        <f t="shared" si="4"/>
        <v>0</v>
      </c>
      <c r="BG18" s="899">
        <f>IF(ISNUMBER(Datos!K18/Datos!J18),Datos!K18/Datos!J18," - ")</f>
        <v>1.3990825688073394</v>
      </c>
      <c r="BH18" s="903">
        <f>IF(ISNUMBER(((Datos!L18/Datos!K18)*11)/factor_trimestre),((Datos!L18/Datos!K18)*11)/factor_trimestre," - ")</f>
        <v>3.3704918032786888</v>
      </c>
      <c r="BI18" s="899">
        <f>SUBTOTAL(9,BI15:BI17)</f>
        <v>0.14745762711864407</v>
      </c>
      <c r="BJ18" s="899">
        <f>SUBTOTAL(9,BJ15:BJ17)</f>
        <v>0</v>
      </c>
      <c r="BK18" s="899">
        <f>SUBTOTAL(9,BK15:BK17)</f>
        <v>0</v>
      </c>
      <c r="BL18" s="899">
        <f>IF(ISNUMBER((I18-AB18+L18)/(F18)),(I18-AB18+L18)/(F18)," - ")</f>
        <v>-0.57009345794392519</v>
      </c>
      <c r="BM18" s="905">
        <f>IF(ISNUMBER((Datos!P18-Datos!Q18)/(Datos!R18-Datos!P18+Datos!Q18)),(Datos!P18-Datos!Q18)/(Datos!R18-Datos!P18+Datos!Q18)," - ")</f>
        <v>5.5555555555555552E-2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541</v>
      </c>
      <c r="G19" s="820">
        <f t="shared" si="6"/>
        <v>614</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307</v>
      </c>
      <c r="AC19" s="821">
        <f t="shared" si="7"/>
        <v>22</v>
      </c>
      <c r="AD19" s="821">
        <f t="shared" si="7"/>
        <v>0</v>
      </c>
      <c r="AE19" s="821">
        <f t="shared" si="7"/>
        <v>0</v>
      </c>
      <c r="AF19" s="828">
        <f t="shared" si="7"/>
        <v>519</v>
      </c>
      <c r="AG19" s="828">
        <f t="shared" si="7"/>
        <v>0</v>
      </c>
      <c r="AH19" s="828">
        <f t="shared" si="7"/>
        <v>18</v>
      </c>
      <c r="AI19" s="828">
        <f t="shared" si="7"/>
        <v>0</v>
      </c>
      <c r="AJ19" s="821">
        <f t="shared" si="7"/>
        <v>0</v>
      </c>
      <c r="AK19" s="828">
        <f t="shared" si="7"/>
        <v>0</v>
      </c>
      <c r="AL19" s="828">
        <f t="shared" si="7"/>
        <v>0</v>
      </c>
      <c r="AM19" s="828">
        <f t="shared" si="7"/>
        <v>756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v>
      </c>
      <c r="BD19" s="820">
        <f t="shared" si="7"/>
        <v>310</v>
      </c>
      <c r="BE19" s="820">
        <f t="shared" si="7"/>
        <v>0</v>
      </c>
      <c r="BF19" s="830">
        <f t="shared" si="7"/>
        <v>0</v>
      </c>
      <c r="BG19" s="915">
        <f>IF(ISNUMBER(Datos!K19/Datos!J19),Datos!K19/Datos!J19," - ")</f>
        <v>1.0422885572139304</v>
      </c>
      <c r="BH19" s="915">
        <f>IF(ISNUMBER(((Datos!L19/Datos!K19)*11)/factor_trimestre),((Datos!L19/Datos!K19)*11)/factor_trimestre," - ")</f>
        <v>7.1933174224343679</v>
      </c>
      <c r="BI19" s="813">
        <f>IF(ISNUMBER(Datos!J19/Datos!I19),Datos!J19/Datos!I19," - ")</f>
        <v>0.26257348138471587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-0.56746765249537889</v>
      </c>
      <c r="BM19" s="889">
        <f>IF(ISNUMBER((Datos!P19-Datos!Q19+R19)/(Datos!R19-Datos!P19+Datos!Q19-R19)),(Datos!P19-Datos!Q19+R19)/(Datos!R19-Datos!P19+Datos!Q19-R19)," - ")</f>
        <v>-1.321003963011889E-3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305.41829240131204</v>
      </c>
      <c r="G21" s="552">
        <f>IF(ISNUMBER(STDEV(G8:G18)),STDEV(G8:G18),"-")</f>
        <v>301.65675858498514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161.83232062848262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15.603418428878546</v>
      </c>
      <c r="BD21" s="551"/>
      <c r="BE21" s="551">
        <f>IF(ISNUMBER(STDEV(BE8:BE18)),STDEV(BE8:BE18),"-")</f>
        <v>0</v>
      </c>
      <c r="BF21" s="556">
        <f>IF(ISNUMBER(STDEV(BF8:BF18)),STDEV(BF8:BF18),"-")</f>
        <v>0</v>
      </c>
      <c r="BG21" s="775">
        <f>IF(ISNUMBER(STDEV(BG8:BG18)),STDEV(BG8:BG18),"-")</f>
        <v>0.59239357535566572</v>
      </c>
      <c r="BH21" s="776">
        <f>IF(ISNUMBER(STDEV(BH8:BH18)),STDEV(BH8:BH18),"-")</f>
        <v>7.0764607369672747</v>
      </c>
      <c r="BI21" s="249">
        <f>IF(ISNUMBER(STDEV(BI8:BI18)),STDEV(BI8:BI18),"-")</f>
        <v>0.11636982147317076</v>
      </c>
      <c r="BJ21" s="230" t="str">
        <f>IF(ISNUMBER(BL21/BM21),BL21/BM21," - ")</f>
        <v xml:space="preserve"> - </v>
      </c>
      <c r="BK21" s="575"/>
      <c r="BL21" s="559">
        <f>IF(ISNUMBER(STDEV(BL8:BL18)),STDEV(BL8:BL18),"-")</f>
        <v>0.16741468962672168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o8epeVzZM8SP4CZa6MueIkBjPtn+JeGjwvOvrGjuqqA+SKa88Tdneg+rimjdpEG7H51aR9ASnU2sgZ6NFZ0VYw==" saltValue="8uQ9TQZ0oGJ8G+ExKufo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SOLSONA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737</v>
      </c>
      <c r="AF12" s="229" t="str">
        <f>IF(ISNUMBER(Datos!BV12),Datos!BV12," - ")</f>
        <v xml:space="preserve"> - </v>
      </c>
      <c r="AG12" s="225" t="str">
        <f>IF(ISNUMBER(Datos!DV12),Datos!DV12," - ")</f>
        <v xml:space="preserve"> - </v>
      </c>
      <c r="AH12" s="298"/>
      <c r="AI12" s="227"/>
      <c r="AJ12" s="225">
        <f>IF(ISNUMBER(Datos!M12),Datos!M12," - ")</f>
        <v>35</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17.495652173913044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-2.7063599458728013E-3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6</v>
      </c>
      <c r="G13" s="898">
        <f>SUBTOTAL(9,G8:G12)</f>
        <v>7</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21</v>
      </c>
      <c r="AA13" s="900">
        <f t="shared" si="2"/>
        <v>5</v>
      </c>
      <c r="AB13" s="900">
        <f t="shared" si="2"/>
        <v>0</v>
      </c>
      <c r="AC13" s="900">
        <f t="shared" si="2"/>
        <v>0</v>
      </c>
      <c r="AD13" s="900">
        <f t="shared" si="2"/>
        <v>0</v>
      </c>
      <c r="AE13" s="900">
        <f t="shared" si="2"/>
        <v>737</v>
      </c>
      <c r="AF13" s="908">
        <f t="shared" si="2"/>
        <v>0</v>
      </c>
      <c r="AG13" s="908">
        <f t="shared" si="2"/>
        <v>0</v>
      </c>
      <c r="AH13" s="908">
        <f t="shared" si="2"/>
        <v>0</v>
      </c>
      <c r="AI13" s="908">
        <f t="shared" si="2"/>
        <v>0</v>
      </c>
      <c r="AJ13" s="908">
        <f t="shared" si="2"/>
        <v>37</v>
      </c>
      <c r="AK13" s="908">
        <f t="shared" si="2"/>
        <v>41</v>
      </c>
      <c r="AL13" s="908">
        <f t="shared" si="2"/>
        <v>0</v>
      </c>
      <c r="AM13" s="908">
        <f t="shared" si="2"/>
        <v>0</v>
      </c>
      <c r="AN13" s="908">
        <f t="shared" si="2"/>
        <v>0</v>
      </c>
      <c r="AO13" s="904">
        <f>IF(ISNUMBER(((NºAsuntos!I13/NºAsuntos!G13)*11)/factor_trimestre),((NºAsuntos!I13/NºAsuntos!G13)*11)/factor_trimestre," - ")</f>
        <v>17.282051282051281</v>
      </c>
      <c r="AP13" s="910" t="str">
        <f>IF(ISNUMBER(Datos!CI13/Datos!CJ13),Datos!CI13/Datos!CJ13," - ")</f>
        <v xml:space="preserve"> - </v>
      </c>
      <c r="AQ13" s="928">
        <f t="shared" ref="AQ13:AV13" si="3">SUBTOTAL(9,AQ9:AQ12)</f>
        <v>0</v>
      </c>
      <c r="AR13" s="928">
        <f t="shared" si="3"/>
        <v>-2.7063599458728013E-3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535</v>
      </c>
      <c r="G16" s="225">
        <f>IF(ISNUMBER(IF(D_I="SI",Datos!I16,Datos!I16+Datos!AC16)),IF(D_I="SI",Datos!I16,Datos!I16+Datos!AC16)," - ")</f>
        <v>541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295</v>
      </c>
      <c r="Z16" s="619">
        <f>IF(ISNUMBER(Datos!Q16),Datos!Q16," - ")</f>
        <v>1</v>
      </c>
      <c r="AA16" s="332">
        <f>IF(ISNUMBER(IF(D_I="SI",Datos!L16,Datos!L16+Datos!AF16)),IF(D_I="SI",Datos!L16,Datos!L16+Datos!AF16)," - ")</f>
        <v>441</v>
      </c>
      <c r="AB16" s="334"/>
      <c r="AC16" s="334"/>
      <c r="AD16" s="484"/>
      <c r="AE16" s="484">
        <f>IF(ISNUMBER(Datos!R16),Datos!R16," - ")</f>
        <v>19</v>
      </c>
      <c r="AF16" s="229" t="str">
        <f>IF(ISNUMBER(Datos!BV16),Datos!BV16," - ")</f>
        <v xml:space="preserve"> - </v>
      </c>
      <c r="AG16" s="225"/>
      <c r="AH16" s="298"/>
      <c r="AI16" s="227"/>
      <c r="AJ16" s="225">
        <f>IF(ISNUMBER(Datos!M16),Datos!M16," - ")</f>
        <v>14</v>
      </c>
      <c r="AK16" s="229">
        <f>IF(ISNUMBER(Datos!N16),Datos!N16," - ")</f>
        <v>257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2.9898305084745762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73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535</v>
      </c>
      <c r="G18" s="898">
        <f>SUBTOTAL(9,G15:G17)</f>
        <v>607</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v>
      </c>
      <c r="Z18" s="932">
        <f t="shared" si="5"/>
        <v>1</v>
      </c>
      <c r="AA18" s="932">
        <f t="shared" si="5"/>
        <v>514</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15</v>
      </c>
      <c r="AK18" s="932">
        <f t="shared" si="5"/>
        <v>269</v>
      </c>
      <c r="AL18" s="932">
        <f t="shared" si="5"/>
        <v>0</v>
      </c>
      <c r="AM18" s="932">
        <f t="shared" si="5"/>
        <v>0</v>
      </c>
      <c r="AN18" s="932">
        <f t="shared" si="5"/>
        <v>0</v>
      </c>
      <c r="AO18" s="934">
        <f>IF(ISNUMBER(((NºAsuntos!I18/NºAsuntos!G18)*11)/factor_trimestre),((NºAsuntos!I18/NºAsuntos!G18)*11)/factor_trimestre," - ")</f>
        <v>3.3704918032786888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541</v>
      </c>
      <c r="G19" s="820">
        <f t="shared" si="7"/>
        <v>614</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307</v>
      </c>
      <c r="Z19" s="827">
        <f t="shared" si="8"/>
        <v>22</v>
      </c>
      <c r="AA19" s="828">
        <f t="shared" si="8"/>
        <v>519</v>
      </c>
      <c r="AB19" s="828">
        <f t="shared" si="8"/>
        <v>0</v>
      </c>
      <c r="AC19" s="828">
        <f t="shared" si="8"/>
        <v>0</v>
      </c>
      <c r="AD19" s="829">
        <f t="shared" si="8"/>
        <v>0</v>
      </c>
      <c r="AE19" s="829">
        <f t="shared" si="8"/>
        <v>756</v>
      </c>
      <c r="AF19" s="830">
        <f t="shared" si="8"/>
        <v>0</v>
      </c>
      <c r="AG19" s="831">
        <f t="shared" si="8"/>
        <v>0</v>
      </c>
      <c r="AH19" s="832">
        <f t="shared" si="8"/>
        <v>0</v>
      </c>
      <c r="AI19" s="830">
        <f t="shared" si="8"/>
        <v>0</v>
      </c>
      <c r="AJ19" s="820">
        <f t="shared" si="8"/>
        <v>52</v>
      </c>
      <c r="AK19" s="820">
        <f t="shared" si="8"/>
        <v>310</v>
      </c>
      <c r="AL19" s="820">
        <f t="shared" si="8"/>
        <v>0</v>
      </c>
      <c r="AM19" s="833">
        <f t="shared" si="8"/>
        <v>0</v>
      </c>
      <c r="AN19" s="823">
        <f>IF(ISNUMBER(Datos!K19/Datos!J19),Datos!K19/Datos!J19," - ")</f>
        <v>1.0422885572139304</v>
      </c>
      <c r="AO19" s="823">
        <f>IF(ISNUMBER(FIND("06",Criterios!A8,1)),(IF(ISNUMBER(((Datos!R19/Datos!Q19)*11)/factor_trimestre),((Datos!R19/Datos!Q19)*11)/factor_trimestre," - ")),(IF(ISNUMBER(((Datos!L19/Datos!K19)*11)/factor_trimestre),((Datos!L19/Datos!K19)*11)/factor_trimestre," - ")))</f>
        <v>7.1933174224343679</v>
      </c>
      <c r="AP19" s="834" t="str">
        <f>IF(ISNUMBER(Datos!CI19/Datos!CJ19),Datos!CI19/Datos!CJ19," - ")</f>
        <v xml:space="preserve"> - </v>
      </c>
      <c r="AQ19" s="834">
        <f>IF(OR(ISNUMBER(FIND("01",Criterios!A8,1)),ISNUMBER(FIND("02",Criterios!A8,1)),ISNUMBER(FIND("03",Criterios!A8,1)),ISNUMBER(FIND("04",Criterios!A8,1))),(J19-Y19+K19)/(F19-K19),(I19-Y19+K19)/(F19-K19))</f>
        <v>-0.56746765249537889</v>
      </c>
      <c r="AR19" s="834">
        <f>IF(ISNUMBER((Datos!P19-Datos!Q19+O19)/(Datos!R19-Datos!P19+Datos!Q19-O19)),(Datos!P19-Datos!Q19+O19)/(Datos!R19-Datos!P19+Datos!Q19-O19)," - ")</f>
        <v>-1.321003963011889E-3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305.41829240131204</v>
      </c>
      <c r="G21" s="552">
        <f>IF(ISNUMBER(STDEV(G8:G18)),STDEV(G8:G18),"-")</f>
        <v>301.65675858498514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15.603418428878546</v>
      </c>
      <c r="AK21" s="252"/>
      <c r="AL21" s="252">
        <f>IF(ISNUMBER(STDEV(AL8:AL18)),STDEV(AL8:AL18),"-")</f>
        <v>0</v>
      </c>
      <c r="AM21" s="254">
        <f>IF(ISNUMBER(STDEV(AM8:AM18)),STDEV(AM8:AM18),"-")</f>
        <v>0</v>
      </c>
      <c r="AN21" s="539">
        <f>IF(ISNUMBER(STDEV(AN8:AN18)),STDEV(AN8:AN18),"-")</f>
        <v>0</v>
      </c>
      <c r="AO21" s="540">
        <f>IF(ISNUMBER(STDEV(AO8:AO18)),STDEV(AO8:AO18),"-")</f>
        <v>7.0480514651647033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PSvjkWc+8H/QgHemG8PjdTtuOP84jIjyOD+5msP88ohGKNQ+FasSrQvmnJ0tuizjUlaQZGNLJQq+chtM4K7Qw==" saltValue="Jmvr7PE34hz67iX9aBQo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tdmTia34sIVUcu+N/75SFeFdyVFq0XEArEipmZypXOWtNTn2ELj3avjTONPGymlx3FQUlXAI3GxfqsXLLE5lg==" saltValue="k8l2uMgDDAR76f7KJ2Mb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ZAE84scwFUnNoFxrJd8D8nyeOBbTv6kOIGAxAYBj3bOq/ILQ+wd+TUCBIuNOjz70eG+v33+Ud2cfsB23Ncmqw==" saltValue="SYYKkLGE4QUTWnMtlVN6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0.31623931623931623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0.22361496499061759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sKJD6PIFNw5Eo3jKb/UjfBkzRtsh0Jk404e56R764biu7JipkqY/983qSvMnLQGSLn6RMDpw3ogcodLFNLDmg==" saltValue="vh9OAsMVT19VEiICtXUN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53eFMurGWoiS+VhN6Va8k70uT3Q+Q5QkY60FuZ1BHEp799rjVHnht9Hx2UL8q9rSfuTDP58VbEElmAsZ/+H0g==" saltValue="EF3MccFl6uvI8DwCq/I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SOLSONA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17.495652173913044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-2.7063599458728013E-3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7</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21</v>
      </c>
      <c r="AE13" s="939">
        <f t="shared" si="1"/>
        <v>0</v>
      </c>
      <c r="AF13" s="939">
        <f t="shared" si="1"/>
        <v>5</v>
      </c>
      <c r="AG13" s="939">
        <f t="shared" si="1"/>
        <v>0</v>
      </c>
      <c r="AH13" s="939">
        <f t="shared" si="1"/>
        <v>737</v>
      </c>
      <c r="AI13" s="939">
        <f t="shared" si="1"/>
        <v>0</v>
      </c>
      <c r="AJ13" s="939">
        <f t="shared" si="1"/>
        <v>0</v>
      </c>
      <c r="AK13" s="939">
        <f t="shared" si="1"/>
        <v>0</v>
      </c>
      <c r="AL13" s="939">
        <f t="shared" si="1"/>
        <v>37</v>
      </c>
      <c r="AM13" s="939">
        <f t="shared" si="1"/>
        <v>41</v>
      </c>
      <c r="AN13" s="939">
        <f t="shared" si="1"/>
        <v>0</v>
      </c>
      <c r="AO13" s="939">
        <f t="shared" si="1"/>
        <v>0</v>
      </c>
      <c r="AP13" s="944">
        <f>IF(ISNUMBER(((Datos!L13/Datos!K13)*11)/factor_trimestre),((Datos!L13/Datos!K13)*11)/factor_trimestre," - ")</f>
        <v>17.421052631578949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-2.7063599458728013E-3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3.3704918032786888</v>
      </c>
      <c r="AQ18" s="944">
        <f>IF(ISNUMBER(((Datos!M18/Datos!L18)*11)/factor_trimestre),((Datos!M18/Datos!L18)*11)/factor_trimestre," - ")</f>
        <v>5.8365758754863821E-2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5.5555555555555552E-2</v>
      </c>
      <c r="AW18" s="946">
        <f>IF(ISNUMBER((Datos!Q18-Datos!R18)/(Datos!S18-Datos!Q18+Datos!R18)),(Datos!Q18-Datos!R18)/(Datos!S18-Datos!Q18+Datos!R18)," - ")</f>
        <v>-3.8626609442060089E-2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7</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21</v>
      </c>
      <c r="AE19" s="957">
        <f t="shared" si="5"/>
        <v>0</v>
      </c>
      <c r="AF19" s="958">
        <f t="shared" si="5"/>
        <v>5</v>
      </c>
      <c r="AG19" s="958">
        <f t="shared" si="5"/>
        <v>0</v>
      </c>
      <c r="AH19" s="958">
        <f t="shared" si="5"/>
        <v>737</v>
      </c>
      <c r="AI19" s="958">
        <f t="shared" si="5"/>
        <v>0</v>
      </c>
      <c r="AJ19" s="959">
        <f t="shared" si="5"/>
        <v>0</v>
      </c>
      <c r="AK19" s="959">
        <f t="shared" si="5"/>
        <v>0</v>
      </c>
      <c r="AL19" s="951">
        <f t="shared" si="5"/>
        <v>37</v>
      </c>
      <c r="AM19" s="951">
        <f t="shared" si="5"/>
        <v>41</v>
      </c>
      <c r="AN19" s="951">
        <f t="shared" si="5"/>
        <v>0</v>
      </c>
      <c r="AO19" s="951">
        <f t="shared" si="5"/>
        <v>0</v>
      </c>
      <c r="AP19" s="951">
        <f>IF(ISNUMBER(((Datos!L19/Datos!K19)*11)/factor_trimestre),((Datos!L19/Datos!K19)*11)/factor_trimestre," - ")</f>
        <v>7.1933174224343679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-1.321003963011889E-3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20.240223977680351</v>
      </c>
      <c r="AM21" s="736"/>
      <c r="AN21" s="736">
        <f>IF(ISNUMBER(STDEV(AN8:AN18)),STDEV(AN8:AN18),"-")</f>
        <v>0</v>
      </c>
      <c r="AO21" s="742">
        <f>IF(ISNUMBER(STDEV(AO8:AO18)),STDEV(AO8:AO18),"-")</f>
        <v>0</v>
      </c>
      <c r="AP21" s="779">
        <f>IF(ISNUMBER(STDEV(AP8:AP18)),STDEV(AP8:AP18),"-")</f>
        <v>7.6921125667176975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z9O861mlJqsbLWOACHBGJM4BMX78Bo+gCpI2Gt9xGfDOtxlS5rxxOI6xexgC85wIwMJaGSNHluEyBeDHRlPkQ==" saltValue="2BvyaSpl4ztlNcG/nE9T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